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740" windowHeight="5055" activeTab="0"/>
  </bookViews>
  <sheets>
    <sheet name="Definitions" sheetId="1" r:id="rId1"/>
    <sheet name="OPI" sheetId="2" r:id="rId2"/>
    <sheet name="Chart1" sheetId="3" r:id="rId3"/>
    <sheet name="Exp Rate" sheetId="4" r:id="rId4"/>
    <sheet name="CWT" sheetId="5" r:id="rId5"/>
  </sheets>
  <definedNames>
    <definedName name="_xlnm.Print_Area" localSheetId="3">'Exp Rate'!$A$1:$Q$26</definedName>
    <definedName name="_xlnm.Print_Area" localSheetId="1">'OPI'!$A$1:$C$26</definedName>
  </definedNames>
  <calcPr fullCalcOnLoad="1"/>
</workbook>
</file>

<file path=xl/comments4.xml><?xml version="1.0" encoding="utf-8"?>
<comments xmlns="http://schemas.openxmlformats.org/spreadsheetml/2006/main">
  <authors>
    <author>Curt Melcher</author>
    <author>Mark Lewis</author>
  </authors>
  <commentList>
    <comment ref="G4" authorId="0">
      <text>
        <r>
          <rPr>
            <b/>
            <sz val="8"/>
            <rFont val="Tahoma"/>
            <family val="0"/>
          </rPr>
          <t>Curt Melcher:</t>
        </r>
        <r>
          <rPr>
            <sz val="8"/>
            <rFont val="Tahoma"/>
            <family val="0"/>
          </rPr>
          <t xml:space="preserve">
1970-93 from OPIBASE data set using punchcards. 1994-2003.  Catchcard catch divided by est. total adults.</t>
        </r>
      </text>
    </comment>
    <comment ref="E4" authorId="0">
      <text>
        <r>
          <rPr>
            <b/>
            <sz val="8"/>
            <rFont val="Tahoma"/>
            <family val="0"/>
          </rPr>
          <t>Curt Melcher:</t>
        </r>
        <r>
          <rPr>
            <sz val="8"/>
            <rFont val="Tahoma"/>
            <family val="0"/>
          </rPr>
          <t xml:space="preserve">
From OPIBASE data set.</t>
        </r>
      </text>
    </comment>
    <comment ref="K4" authorId="1">
      <text>
        <r>
          <rPr>
            <b/>
            <sz val="8"/>
            <rFont val="Tahoma"/>
            <family val="0"/>
          </rPr>
          <t>Mark Lewis:</t>
        </r>
        <r>
          <rPr>
            <sz val="8"/>
            <rFont val="Tahoma"/>
            <family val="0"/>
          </rPr>
          <t xml:space="preserve">
Number of ODFW hatchery coho smolts released in the Oregon Coast Coho ESU.  Releases for each brood year occur in release year=brood year+2.</t>
        </r>
      </text>
    </comment>
    <comment ref="L4" authorId="1">
      <text>
        <r>
          <rPr>
            <b/>
            <sz val="8"/>
            <rFont val="Tahoma"/>
            <family val="0"/>
          </rPr>
          <t>Mark Lewis:</t>
        </r>
        <r>
          <rPr>
            <sz val="8"/>
            <rFont val="Tahoma"/>
            <family val="0"/>
          </rPr>
          <t xml:space="preserve">
Number of ODFW hatchery coho adults collected at hatcheries and hatchery related traps in the Oregon Coast Coho ESU.</t>
        </r>
      </text>
    </comment>
    <comment ref="O22" authorId="1">
      <text>
        <r>
          <rPr>
            <sz val="8"/>
            <rFont val="Tahoma"/>
            <family val="0"/>
          </rPr>
          <t>Very large catch (15,188) in Umpqua Bay appears odd.  Suspect they are ocean fish caught at the rivers mouth.</t>
        </r>
      </text>
    </comment>
    <comment ref="O23" authorId="1">
      <text>
        <r>
          <rPr>
            <sz val="8"/>
            <rFont val="Tahoma"/>
            <family val="0"/>
          </rPr>
          <t>Estimated based on average rate for 1994 through 2001.</t>
        </r>
      </text>
    </comment>
    <comment ref="O24" authorId="1">
      <text>
        <r>
          <rPr>
            <sz val="8"/>
            <rFont val="Tahoma"/>
            <family val="0"/>
          </rPr>
          <t>Estimated based on average rate for 1994 through 2001.</t>
        </r>
      </text>
    </comment>
  </commentList>
</comments>
</file>

<file path=xl/sharedStrings.xml><?xml version="1.0" encoding="utf-8"?>
<sst xmlns="http://schemas.openxmlformats.org/spreadsheetml/2006/main" count="201" uniqueCount="115">
  <si>
    <t>OCN</t>
  </si>
  <si>
    <t>Year</t>
  </si>
  <si>
    <t>OPI</t>
  </si>
  <si>
    <t>1/</t>
  </si>
  <si>
    <t>1/  Post-season analysis is not yet available.  Represents pre-season expected impact rates.</t>
  </si>
  <si>
    <t>Freshwater</t>
  </si>
  <si>
    <t>Harvest Rate</t>
  </si>
  <si>
    <t>Ocean</t>
  </si>
  <si>
    <t>Fishery</t>
  </si>
  <si>
    <t>Rate</t>
  </si>
  <si>
    <t>Exploitation</t>
  </si>
  <si>
    <t>Column Definitions</t>
  </si>
  <si>
    <t>Data Source</t>
  </si>
  <si>
    <t>Fishery Year = The calendar year in which the harvest occurred.</t>
  </si>
  <si>
    <t>OPI Ocean Harvest Rate = Calculated as the total ocean catch south of Leadbetter Point, WA divided by same ocean catch plus freshwater catch plus returns to escapement areas.</t>
  </si>
  <si>
    <t>Brood Year = The return year of the parents of the fish harvested in the fishery year.</t>
  </si>
  <si>
    <t>Brood</t>
  </si>
  <si>
    <t xml:space="preserve"> Year</t>
  </si>
  <si>
    <t>Hatchery</t>
  </si>
  <si>
    <t>Smolts</t>
  </si>
  <si>
    <t>Returns</t>
  </si>
  <si>
    <t>Oregon Coast ESU</t>
  </si>
  <si>
    <t>Est. Ocean</t>
  </si>
  <si>
    <t>Harvest</t>
  </si>
  <si>
    <t>Est. FW</t>
  </si>
  <si>
    <t>Percent</t>
  </si>
  <si>
    <t>Adults</t>
  </si>
  <si>
    <t>Est. Total</t>
  </si>
  <si>
    <t>Check</t>
  </si>
  <si>
    <t>Hatchery Returns</t>
  </si>
  <si>
    <t xml:space="preserve">Percent Hatchery Returns = 100% - OPI Ocean Harvest Rate - OCN Freshwater Exploitation Rate. </t>
  </si>
  <si>
    <t>Oregon Coast ESU Hatchery Smolts = Number of ODFW hatchery coho smolts released in the Oregon Coast Coho ESU.  Releases for each brood year occur in release year=brood year+2.  Data in Blue is from old paper reports, all other data is from the ODFW HMIS database.</t>
  </si>
  <si>
    <t>Oregon Coast ESU Hatchery Adults = Number of ODFW hatchery coho adults collected at hatcheries and hatchery related traps in the Oregon Coast Coho ESU.  This includes all hatcheries where we would expect hatchery coho adult returns (that released coho smolts in the prior year) except Rock Creek.  Winchester Dam counts are used in place of returns to Rock Creek Hatchery.</t>
  </si>
  <si>
    <t xml:space="preserve">Punchcard </t>
  </si>
  <si>
    <t>Catch</t>
  </si>
  <si>
    <t xml:space="preserve">Hatchery </t>
  </si>
  <si>
    <t>Spawners</t>
  </si>
  <si>
    <t>Adult Coho</t>
  </si>
  <si>
    <t>Abundance</t>
  </si>
  <si>
    <t>in Fishery Year</t>
  </si>
  <si>
    <t>in Fishery Year-1</t>
  </si>
  <si>
    <t xml:space="preserve">           (in thousands)</t>
  </si>
  <si>
    <t>(in millions)</t>
  </si>
  <si>
    <t>Estimated</t>
  </si>
  <si>
    <t>H Coho</t>
  </si>
  <si>
    <t>% Surv.</t>
  </si>
  <si>
    <t>Est. OR Coast Hatchery Coho</t>
  </si>
  <si>
    <t>% Survival</t>
  </si>
  <si>
    <t>WTSURV</t>
  </si>
  <si>
    <t>Alsea</t>
  </si>
  <si>
    <t>Coos</t>
  </si>
  <si>
    <t>Coquille</t>
  </si>
  <si>
    <t>Nehalem</t>
  </si>
  <si>
    <t>Nestucca</t>
  </si>
  <si>
    <t>Salmon R</t>
  </si>
  <si>
    <t>Siletz</t>
  </si>
  <si>
    <t>Trask</t>
  </si>
  <si>
    <t>Yaquina</t>
  </si>
  <si>
    <t>Oregon Coast Coho ESU Coded-Wire Tag groups survival data.</t>
  </si>
  <si>
    <t>%</t>
  </si>
  <si>
    <t>Surv</t>
  </si>
  <si>
    <t>Total # of</t>
  </si>
  <si>
    <t>Fish Represented</t>
  </si>
  <si>
    <t>Ad+CWT</t>
  </si>
  <si>
    <t>North Umpqua</t>
  </si>
  <si>
    <t>ESU Total</t>
  </si>
  <si>
    <t xml:space="preserve"># of </t>
  </si>
  <si>
    <t>Programs</t>
  </si>
  <si>
    <t>CWT %</t>
  </si>
  <si>
    <t>"Exp Rate" Worksheet</t>
  </si>
  <si>
    <t>Oregon Coast ESU Est. Ocean Harvest = Est. Total Adults*OPI Ocean Harvest Rate</t>
  </si>
  <si>
    <t>Oregon Coast ESU Est. FW Harvest = Est. Total Adults*OCN Freshwater Exploitation Rate</t>
  </si>
  <si>
    <t xml:space="preserve">The survival rates on this worksheet use OPI ocean and freshwater harvest rates in conjunction with escapement (hatchery returns) of hatchery coho in the Oregon Coast ESU to calculate </t>
  </si>
  <si>
    <t>the total number of adult hatchery coho produced in the Oregon Coast ESU in a given run year.  Survival is then calculated by dividing the number of adult hatchery coho produced in year x</t>
  </si>
  <si>
    <t>by the number of hatchery coho smolts released in the Oregon Coast ESU in year x-1.</t>
  </si>
  <si>
    <t xml:space="preserve">The harvest rates on this worksheet are calculated annually by the Oregon Production Index Technical Team (OPITT) from the OPIBASE data set.  The OPITT is an ad-hoc technical committee </t>
  </si>
  <si>
    <t>Information System (HMIS) database located at the ODFW headquarters in Salem Oregon.  Where release data was missing or incomplete in HMIS, the missing information was added from other</t>
  </si>
  <si>
    <t xml:space="preserve">sources (district records, hatchery records, or transfer records in HMIS).  </t>
  </si>
  <si>
    <t>comprised of staff from ODFW, WDFW, CDFG, NMFS, USFWS, and PFMC.  Because of selective harvest management the OCN freshwater exploitation rate from 1994 on does not reflect harvest</t>
  </si>
  <si>
    <t>Est. Total Adults = 1984 through 1993 is (Oregon Coast ESU Hatchery Adults/Percent Hatchery Returns).  1994 through 2003 is (Oregon Coast ESU Hatchery Adults+Punchcard Catch)/(1-OPI Ocean Harvest Rate).</t>
  </si>
  <si>
    <t>"OPI" Worksheet</t>
  </si>
  <si>
    <t xml:space="preserve"> estimated by reducing total abundance by the number of OCN spawners (plus catch based on the exploitation rate).  Survival is the calculated as total hatchery adults in year x divided by</t>
  </si>
  <si>
    <t xml:space="preserve"> hatchery smolts released in year x-1.</t>
  </si>
  <si>
    <t>OCN Spawners = Number of naturally produced coho spawners (in thousands) in rivers and lakes along the Oregon Coast. ("OCN Spawners" column in Table III-2 of the 2003 Preseason Report I).</t>
  </si>
  <si>
    <t>OPI Adult Coho Abundance = Total number of adult coho produced (catch plus escapement in thousands) in the OPI.  ("Abundance" column in Table III-2 of the 2003 Preseason Report I).</t>
  </si>
  <si>
    <t>"CWT" Worksheet</t>
  </si>
  <si>
    <t xml:space="preserve">The survival rates on this worksheet use release and recovery data for groups of coded-wire tagged (CWT) hatchery coho released in the Oregon Coast Coho ESU to calculate an overall hatchery coho </t>
  </si>
  <si>
    <t xml:space="preserve">survival for the ESU.  These data are based on production and production scale experimental groups of Ad+CWT fish.  Groups of Ad+CWT fish tagged for specific research experiments and not </t>
  </si>
  <si>
    <t xml:space="preserve">associated with production scale releases, or groups released in areas without the ability to recover returning adults are not included in this data.  Percent survival is calculated as (total estimated </t>
  </si>
  <si>
    <t xml:space="preserve">recoveries/number of tagged fish released)*100.  The stock groups on this worksheet are based on broodstock and release location.  Brood year percent survival is the percent survival of the </t>
  </si>
  <si>
    <t xml:space="preserve">Ad+CWT group representing that brood year.  When more than one Ad+CWT group is available for a brood year, the brood year percent survival is calculated as the weighted average of the </t>
  </si>
  <si>
    <t>Ad+CWT groups.  Percent survivals are weighted by the total number of fish, both marked and unmarked, associated with each Ad+CWT group.</t>
  </si>
  <si>
    <t xml:space="preserve">The release and recover data for the CWT groups was obtained from the Pacific States Marine Fisheries Commissions online database located at (http://www.rmis.org/).  Total numbers of hatchery </t>
  </si>
  <si>
    <t>Total # of Fish Represented = The total number of coho smolts of the same stock released at in same location and year as the Ad+CWT fish (from HMIS database).</t>
  </si>
  <si>
    <t>WTSURV = Weighting factor used for calculating weighted average brood year survival across all groups (calculated as % Surv * Total # of Fish Represented).</t>
  </si>
  <si>
    <t>For each of the 10 coho program groupings (hidden columns)</t>
  </si>
  <si>
    <t>For ESU total columns.</t>
  </si>
  <si>
    <t># of Programs = Number of coho program groups with Ad+CWT data used in calculating the overall ESU survival for that brood year.</t>
  </si>
  <si>
    <t>Total # of Fish Represented = Sum of "Total # of Fish Represented" columns in the 10 coho program groupings (hidden columns).</t>
  </si>
  <si>
    <t>Ad+CWT = Sum of "Ad+CWT" columns in the 10 coho program groupings (hidden columns).</t>
  </si>
  <si>
    <t>WTSURV = Sum of "WTSURV" columns in the 10 coho program groupings (hidden columns).</t>
  </si>
  <si>
    <t xml:space="preserve">coho released was obtained from ODFW's  HMIS database.  Note the 2002 and 2003 hatchery recoveries of CWT fish are not currently available.  Thus, the 1999 and 2000 brood years data </t>
  </si>
  <si>
    <r>
      <t xml:space="preserve">(2002 and 2003 fishery year) only represent ocean recoveries of CWT fish.  Therefore, the data is in </t>
    </r>
    <r>
      <rPr>
        <i/>
        <sz val="10"/>
        <color indexed="10"/>
        <rFont val="Times New Roman"/>
        <family val="1"/>
      </rPr>
      <t>red italics</t>
    </r>
    <r>
      <rPr>
        <sz val="10"/>
        <rFont val="Times New Roman"/>
        <family val="1"/>
      </rPr>
      <t>.</t>
    </r>
  </si>
  <si>
    <t xml:space="preserve">of hatchery fish.  Thus, for run years 1994 on punch card estimates of freshwater harvest were used.  The hatchery smolt release and adult return data was obtained from the Hatchery Management </t>
  </si>
  <si>
    <t xml:space="preserve">OCN Freshwater Exploitation Rate = Calculated using punch-card catch estimates divided by ocean abundance from the OPIBASE data set. Uses assumed hooking mortality rate of 10% and average observed harvest (encounter) rate of 10% for closed and/or selective fisheries.  From 1998 on is punch card catch divided by total adults. </t>
  </si>
  <si>
    <t>Punch card Catch = Number of coho harvested in freshwater fisheries based on returned angler punch cards.  Only included basins where hatchery coho smolts were released.  Punch card data is only available through 2001.  002 and 2003 data estimated based on average rate for 1994 through 2001.  Note: very large catch (15,188) in Umpqua Bay in 2001 was not included.  The numbers suggest an error or a case of fishing on ocean fish at the mouth of the river.</t>
  </si>
  <si>
    <t>The survival rates on this worksheet use total OPI hatchery coho smolt releases and adults produced to estimate an OPI wide hatchery coho survival rate.  Total hatchery coho produced is</t>
  </si>
  <si>
    <t xml:space="preserve">The survival rates on this worksheet use total OPI hatchery coho smolt releases (Table B-1) and adults produced (Table III-2) from Preseason Report I, Stock abundance analysis for 2003 ocean </t>
  </si>
  <si>
    <t>OPI Hatchery Smolts (in millions) = Total number of hatchery coho smolts released in the OPI area ("Total OPI" Column from Table B-1 of the 2003 Preseason Report I).</t>
  </si>
  <si>
    <t>OCN Exploitation Rate = Harvest impact on OCN coho.  For fishery years 1984 through 1993 it is the "Ocean Exploitation Rate Based on OPI Abundance" column and for fishery years 1994 through 2002 it is the "OCN Exploitation rate Based on Postseason FRAM" column in Table III-2 of the 2003 Preseason Report I.  Since the 2003 data is not yet available, used the 2002 rate for 2003.</t>
  </si>
  <si>
    <t>Estimated OPI H Coho % Surv. = Estimated percent survival for OPI hatchery coho.  Calculated as: (((Total abundance - (OCN spawners/(1-OCN exploitation rate)))*1,000)/(OPI Smolts *1,000,000))/100</t>
  </si>
  <si>
    <t>Ad+CWT = Number of fish released with an adipose fin clip and a coded-wire tag (from PSMFC database).</t>
  </si>
  <si>
    <t>% Surv. = Weighted average survival for that group and brood year of Ad+CWT fish.</t>
  </si>
  <si>
    <t>% CWT Surv = Weighted average percent survival for that brood year of hatchery coho in the Oregon Coast ESU.  Calculated as: "WTSURV"/"Total # of Fish Represented"</t>
  </si>
  <si>
    <t>salmon fisheries.  The report is prepared for the Pacific Fisheries Management Council by the Salmon Technical Team.  Data was updated by the 2004 Preseason Report I.</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</si>
</sst>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000000000000000%"/>
    <numFmt numFmtId="167" formatCode="0.000000000000000%"/>
    <numFmt numFmtId="168" formatCode="0.00000000000000%"/>
    <numFmt numFmtId="169" formatCode="0.0000000000000%"/>
    <numFmt numFmtId="170" formatCode="0.000000000000%"/>
    <numFmt numFmtId="171" formatCode="0.00000000000%"/>
    <numFmt numFmtId="172" formatCode="0.0000000000%"/>
    <numFmt numFmtId="173" formatCode="0.000000000%"/>
    <numFmt numFmtId="174" formatCode="0.00000000%"/>
    <numFmt numFmtId="175" formatCode="0.00000%"/>
    <numFmt numFmtId="176" formatCode="#,##0.0"/>
    <numFmt numFmtId="177" formatCode="0.0"/>
  </numFmts>
  <fonts count="24">
    <font>
      <sz val="10"/>
      <name val="Arial"/>
      <family val="0"/>
    </font>
    <font>
      <sz val="8"/>
      <name val="Tahoma"/>
      <family val="0"/>
    </font>
    <font>
      <b/>
      <sz val="8"/>
      <name val="Tahoma"/>
      <family val="0"/>
    </font>
    <font>
      <sz val="10"/>
      <name val="Times New Roman"/>
      <family val="1"/>
    </font>
    <font>
      <i/>
      <sz val="8"/>
      <name val="Arial"/>
      <family val="2"/>
    </font>
    <font>
      <b/>
      <sz val="18"/>
      <name val="Times New Roman"/>
      <family val="1"/>
    </font>
    <font>
      <b/>
      <sz val="13.25"/>
      <name val="Times New Roman"/>
      <family val="1"/>
    </font>
    <font>
      <i/>
      <sz val="10"/>
      <color indexed="52"/>
      <name val="Arial"/>
      <family val="2"/>
    </font>
    <font>
      <sz val="8"/>
      <name val="Arial"/>
      <family val="2"/>
    </font>
    <font>
      <b/>
      <sz val="12"/>
      <name val="Arial"/>
      <family val="2"/>
    </font>
    <font>
      <u val="single"/>
      <sz val="10"/>
      <color indexed="12"/>
      <name val="Arial"/>
      <family val="0"/>
    </font>
    <font>
      <u val="single"/>
      <sz val="10"/>
      <color indexed="36"/>
      <name val="Arial"/>
      <family val="0"/>
    </font>
    <font>
      <b/>
      <sz val="9"/>
      <name val="Arial"/>
      <family val="2"/>
    </font>
    <font>
      <sz val="9"/>
      <name val="Arial"/>
      <family val="2"/>
    </font>
    <font>
      <sz val="7"/>
      <name val="Arial"/>
      <family val="2"/>
    </font>
    <font>
      <b/>
      <sz val="14"/>
      <name val="Times New Roman"/>
      <family val="1"/>
    </font>
    <font>
      <i/>
      <u val="single"/>
      <sz val="10"/>
      <name val="Times New Roman"/>
      <family val="1"/>
    </font>
    <font>
      <i/>
      <sz val="7"/>
      <name val="Arial"/>
      <family val="2"/>
    </font>
    <font>
      <sz val="9"/>
      <color indexed="12"/>
      <name val="Arial"/>
      <family val="2"/>
    </font>
    <font>
      <i/>
      <sz val="9"/>
      <color indexed="10"/>
      <name val="Arial"/>
      <family val="2"/>
    </font>
    <font>
      <b/>
      <sz val="10"/>
      <name val="Times New Roman"/>
      <family val="1"/>
    </font>
    <font>
      <i/>
      <sz val="10"/>
      <color indexed="10"/>
      <name val="Times New Roman"/>
      <family val="1"/>
    </font>
    <font>
      <u val="single"/>
      <sz val="10"/>
      <name val="Arial"/>
      <family val="2"/>
    </font>
    <font>
      <b/>
      <sz val="8"/>
      <name val="Arial"/>
      <family val="2"/>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165" fontId="0" fillId="0" borderId="0" xfId="21" applyNumberFormat="1" applyAlignment="1">
      <alignment horizontal="center"/>
    </xf>
    <xf numFmtId="165" fontId="0" fillId="0" borderId="0" xfId="21" applyNumberFormat="1" applyAlignment="1">
      <alignment horizontal="center"/>
    </xf>
    <xf numFmtId="10" fontId="0" fillId="0" borderId="0" xfId="0" applyNumberFormat="1" applyAlignment="1">
      <alignment/>
    </xf>
    <xf numFmtId="10" fontId="0" fillId="0" borderId="0" xfId="0" applyNumberFormat="1" applyAlignment="1">
      <alignment horizontal="center"/>
    </xf>
    <xf numFmtId="0" fontId="3" fillId="0" borderId="0" xfId="0" applyFont="1" applyAlignment="1">
      <alignment/>
    </xf>
    <xf numFmtId="3" fontId="0" fillId="0" borderId="0" xfId="0" applyNumberFormat="1" applyAlignment="1">
      <alignment horizontal="center"/>
    </xf>
    <xf numFmtId="3" fontId="0" fillId="0" borderId="1" xfId="0" applyNumberFormat="1" applyBorder="1" applyAlignment="1">
      <alignment horizontal="center"/>
    </xf>
    <xf numFmtId="3" fontId="0" fillId="0" borderId="0" xfId="0" applyNumberFormat="1" applyAlignment="1">
      <alignment/>
    </xf>
    <xf numFmtId="0" fontId="0" fillId="0" borderId="2" xfId="0" applyBorder="1" applyAlignment="1">
      <alignment horizontal="center"/>
    </xf>
    <xf numFmtId="10" fontId="0" fillId="0" borderId="2" xfId="0" applyNumberFormat="1" applyBorder="1" applyAlignment="1">
      <alignment horizontal="center"/>
    </xf>
    <xf numFmtId="3" fontId="0" fillId="0" borderId="2" xfId="0" applyNumberFormat="1" applyBorder="1" applyAlignment="1">
      <alignment horizontal="center"/>
    </xf>
    <xf numFmtId="3" fontId="0" fillId="0" borderId="0" xfId="21" applyNumberFormat="1" applyAlignment="1">
      <alignment/>
    </xf>
    <xf numFmtId="3" fontId="0" fillId="0" borderId="0" xfId="21" applyNumberFormat="1" applyAlignment="1">
      <alignment/>
    </xf>
    <xf numFmtId="3" fontId="0" fillId="0" borderId="0" xfId="0" applyNumberFormat="1" applyAlignment="1">
      <alignment/>
    </xf>
    <xf numFmtId="10" fontId="0" fillId="0" borderId="1" xfId="0" applyNumberFormat="1" applyBorder="1" applyAlignment="1">
      <alignment horizontal="center"/>
    </xf>
    <xf numFmtId="0" fontId="0" fillId="0" borderId="0" xfId="0" applyBorder="1" applyAlignment="1">
      <alignment/>
    </xf>
    <xf numFmtId="10" fontId="0" fillId="0" borderId="0" xfId="0" applyNumberFormat="1" applyBorder="1" applyAlignment="1">
      <alignment/>
    </xf>
    <xf numFmtId="3" fontId="0" fillId="0" borderId="0" xfId="0" applyNumberFormat="1" applyBorder="1" applyAlignment="1">
      <alignment/>
    </xf>
    <xf numFmtId="3" fontId="0" fillId="0" borderId="0" xfId="0" applyNumberFormat="1" applyBorder="1" applyAlignment="1">
      <alignment horizontal="center"/>
    </xf>
    <xf numFmtId="0" fontId="0" fillId="0" borderId="3" xfId="0" applyBorder="1" applyAlignment="1">
      <alignment horizontal="left"/>
    </xf>
    <xf numFmtId="0" fontId="0" fillId="0" borderId="3" xfId="0" applyBorder="1" applyAlignment="1">
      <alignment horizontal="center"/>
    </xf>
    <xf numFmtId="10" fontId="0" fillId="0" borderId="3" xfId="0" applyNumberFormat="1" applyBorder="1" applyAlignment="1">
      <alignment/>
    </xf>
    <xf numFmtId="3" fontId="0" fillId="0" borderId="3" xfId="0" applyNumberFormat="1" applyBorder="1" applyAlignment="1">
      <alignment horizontal="center"/>
    </xf>
    <xf numFmtId="10" fontId="0" fillId="0" borderId="3" xfId="0" applyNumberFormat="1" applyBorder="1" applyAlignment="1">
      <alignment horizontal="center"/>
    </xf>
    <xf numFmtId="10" fontId="0" fillId="0" borderId="0" xfId="0" applyNumberFormat="1" applyBorder="1" applyAlignment="1">
      <alignment horizontal="center"/>
    </xf>
    <xf numFmtId="0" fontId="4" fillId="0" borderId="0" xfId="0" applyFont="1" applyAlignment="1">
      <alignment/>
    </xf>
    <xf numFmtId="0" fontId="4" fillId="0" borderId="0" xfId="0" applyFont="1" applyBorder="1" applyAlignment="1">
      <alignment horizontal="center"/>
    </xf>
    <xf numFmtId="3" fontId="4" fillId="0" borderId="0" xfId="0" applyNumberFormat="1" applyFont="1" applyAlignment="1">
      <alignment/>
    </xf>
    <xf numFmtId="10" fontId="0" fillId="0" borderId="0" xfId="21" applyNumberFormat="1" applyAlignment="1">
      <alignment horizontal="center"/>
    </xf>
    <xf numFmtId="3" fontId="0" fillId="0" borderId="1" xfId="0" applyNumberFormat="1" applyBorder="1" applyAlignment="1">
      <alignment/>
    </xf>
    <xf numFmtId="3" fontId="0" fillId="0" borderId="3" xfId="0" applyNumberFormat="1" applyBorder="1" applyAlignment="1">
      <alignment/>
    </xf>
    <xf numFmtId="3" fontId="0" fillId="0" borderId="0" xfId="21" applyNumberFormat="1" applyFont="1" applyAlignment="1">
      <alignment/>
    </xf>
    <xf numFmtId="10" fontId="0" fillId="0" borderId="1" xfId="21" applyNumberFormat="1" applyBorder="1" applyAlignment="1">
      <alignment horizontal="center"/>
    </xf>
    <xf numFmtId="0" fontId="0" fillId="0" borderId="1" xfId="0" applyBorder="1" applyAlignment="1">
      <alignment/>
    </xf>
    <xf numFmtId="3" fontId="7" fillId="0" borderId="0" xfId="0" applyNumberFormat="1" applyFont="1" applyAlignment="1">
      <alignment/>
    </xf>
    <xf numFmtId="176" fontId="0" fillId="0" borderId="0" xfId="0" applyNumberFormat="1" applyAlignment="1">
      <alignment/>
    </xf>
    <xf numFmtId="0" fontId="8" fillId="0" borderId="0" xfId="0" applyFont="1" applyAlignment="1">
      <alignment horizontal="center"/>
    </xf>
    <xf numFmtId="176" fontId="0" fillId="0" borderId="0" xfId="0" applyNumberFormat="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4" fontId="0" fillId="0" borderId="0" xfId="0" applyNumberFormat="1" applyAlignment="1">
      <alignment horizontal="center"/>
    </xf>
    <xf numFmtId="0" fontId="0" fillId="0" borderId="0" xfId="0" applyBorder="1" applyAlignment="1">
      <alignment horizontal="left"/>
    </xf>
    <xf numFmtId="0" fontId="9" fillId="0" borderId="0" xfId="0" applyFont="1" applyAlignment="1">
      <alignment/>
    </xf>
    <xf numFmtId="0" fontId="12" fillId="0" borderId="0" xfId="0" applyFont="1" applyAlignment="1">
      <alignment/>
    </xf>
    <xf numFmtId="0" fontId="13" fillId="0" borderId="0" xfId="0" applyFont="1" applyAlignment="1">
      <alignment/>
    </xf>
    <xf numFmtId="3" fontId="13" fillId="0" borderId="0" xfId="0" applyNumberFormat="1" applyFont="1" applyAlignment="1">
      <alignment/>
    </xf>
    <xf numFmtId="0" fontId="13" fillId="0" borderId="0" xfId="0" applyFont="1" applyFill="1" applyAlignment="1">
      <alignment/>
    </xf>
    <xf numFmtId="0" fontId="13" fillId="0" borderId="0" xfId="0" applyFont="1" applyFill="1" applyAlignment="1">
      <alignment/>
    </xf>
    <xf numFmtId="3" fontId="13" fillId="0" borderId="1" xfId="0" applyNumberFormat="1" applyFont="1" applyFill="1" applyBorder="1" applyAlignment="1">
      <alignment/>
    </xf>
    <xf numFmtId="3" fontId="13" fillId="0" borderId="0" xfId="0" applyNumberFormat="1" applyFont="1" applyFill="1" applyBorder="1" applyAlignment="1">
      <alignment/>
    </xf>
    <xf numFmtId="0" fontId="13" fillId="0" borderId="0" xfId="0" applyFont="1" applyAlignment="1">
      <alignment horizontal="center"/>
    </xf>
    <xf numFmtId="3" fontId="13" fillId="0" borderId="3" xfId="0" applyNumberFormat="1" applyFont="1" applyBorder="1" applyAlignment="1">
      <alignment/>
    </xf>
    <xf numFmtId="0" fontId="13" fillId="0" borderId="2" xfId="0" applyFont="1" applyBorder="1" applyAlignment="1">
      <alignment horizontal="center"/>
    </xf>
    <xf numFmtId="3" fontId="13" fillId="0" borderId="2" xfId="0" applyNumberFormat="1" applyFont="1" applyBorder="1" applyAlignment="1">
      <alignment/>
    </xf>
    <xf numFmtId="1" fontId="13" fillId="0" borderId="0" xfId="0" applyNumberFormat="1" applyFont="1" applyAlignment="1">
      <alignment horizontal="center"/>
    </xf>
    <xf numFmtId="0" fontId="14" fillId="0" borderId="0" xfId="0" applyFont="1" applyAlignment="1">
      <alignment/>
    </xf>
    <xf numFmtId="4" fontId="14" fillId="0" borderId="1" xfId="0" applyNumberFormat="1" applyFont="1" applyFill="1" applyBorder="1" applyAlignment="1">
      <alignment/>
    </xf>
    <xf numFmtId="4" fontId="14" fillId="0" borderId="3" xfId="0" applyNumberFormat="1" applyFont="1" applyFill="1" applyBorder="1" applyAlignment="1">
      <alignment/>
    </xf>
    <xf numFmtId="4" fontId="14" fillId="0" borderId="2" xfId="0" applyNumberFormat="1" applyFont="1" applyBorder="1" applyAlignment="1">
      <alignment/>
    </xf>
    <xf numFmtId="2" fontId="14" fillId="0" borderId="0" xfId="0" applyNumberFormat="1" applyFont="1" applyAlignment="1">
      <alignment/>
    </xf>
    <xf numFmtId="4" fontId="14" fillId="0" borderId="0" xfId="0" applyNumberFormat="1" applyFont="1" applyFill="1" applyBorder="1" applyAlignment="1">
      <alignment/>
    </xf>
    <xf numFmtId="2" fontId="13" fillId="0" borderId="0" xfId="0" applyNumberFormat="1" applyFont="1" applyAlignment="1">
      <alignment horizontal="center"/>
    </xf>
    <xf numFmtId="2" fontId="13" fillId="0" borderId="3" xfId="0" applyNumberFormat="1" applyFont="1" applyFill="1" applyBorder="1" applyAlignment="1">
      <alignment horizontal="center"/>
    </xf>
    <xf numFmtId="2" fontId="13" fillId="0" borderId="2" xfId="0" applyNumberFormat="1" applyFont="1" applyBorder="1" applyAlignment="1">
      <alignment horizontal="center"/>
    </xf>
    <xf numFmtId="4" fontId="13" fillId="0" borderId="1" xfId="0" applyNumberFormat="1" applyFont="1" applyFill="1" applyBorder="1" applyAlignment="1">
      <alignment horizontal="center"/>
    </xf>
    <xf numFmtId="4" fontId="13" fillId="0" borderId="3" xfId="0" applyNumberFormat="1" applyFont="1" applyFill="1" applyBorder="1" applyAlignment="1">
      <alignment horizontal="center"/>
    </xf>
    <xf numFmtId="4" fontId="13" fillId="0" borderId="2" xfId="0" applyNumberFormat="1" applyFont="1" applyBorder="1" applyAlignment="1">
      <alignment horizontal="center"/>
    </xf>
    <xf numFmtId="4" fontId="13" fillId="0" borderId="0" xfId="0" applyNumberFormat="1" applyFont="1" applyFill="1" applyBorder="1" applyAlignment="1">
      <alignment horizontal="center"/>
    </xf>
    <xf numFmtId="0" fontId="15" fillId="0" borderId="0" xfId="0" applyFont="1" applyAlignment="1">
      <alignment/>
    </xf>
    <xf numFmtId="0" fontId="16" fillId="0" borderId="0" xfId="0" applyFont="1" applyAlignment="1">
      <alignment/>
    </xf>
    <xf numFmtId="3" fontId="4" fillId="0" borderId="1" xfId="0" applyNumberFormat="1" applyFont="1" applyBorder="1" applyAlignment="1">
      <alignment/>
    </xf>
    <xf numFmtId="3" fontId="0" fillId="0" borderId="1" xfId="21" applyNumberFormat="1" applyBorder="1" applyAlignment="1">
      <alignment/>
    </xf>
    <xf numFmtId="165" fontId="0" fillId="0" borderId="1" xfId="21" applyNumberFormat="1" applyBorder="1" applyAlignment="1">
      <alignment horizontal="center"/>
    </xf>
    <xf numFmtId="0" fontId="0" fillId="0" borderId="1" xfId="0" applyBorder="1" applyAlignment="1">
      <alignment horizontal="center"/>
    </xf>
    <xf numFmtId="10" fontId="17" fillId="0" borderId="0" xfId="0" applyNumberFormat="1" applyFont="1" applyAlignment="1">
      <alignment/>
    </xf>
    <xf numFmtId="0" fontId="17" fillId="0" borderId="0" xfId="0" applyFont="1" applyAlignment="1">
      <alignment/>
    </xf>
    <xf numFmtId="2" fontId="13" fillId="0" borderId="0" xfId="0" applyNumberFormat="1" applyFont="1" applyBorder="1" applyAlignment="1">
      <alignment horizontal="center"/>
    </xf>
    <xf numFmtId="0" fontId="14" fillId="0" borderId="4" xfId="0" applyFont="1" applyBorder="1" applyAlignment="1">
      <alignment/>
    </xf>
    <xf numFmtId="3" fontId="13" fillId="0" borderId="0" xfId="0" applyNumberFormat="1" applyFont="1" applyBorder="1" applyAlignment="1">
      <alignment/>
    </xf>
    <xf numFmtId="10" fontId="13" fillId="0" borderId="0" xfId="0" applyNumberFormat="1" applyFont="1" applyBorder="1" applyAlignment="1">
      <alignment horizontal="center"/>
    </xf>
    <xf numFmtId="2" fontId="14" fillId="0" borderId="4" xfId="0" applyNumberFormat="1" applyFont="1" applyBorder="1" applyAlignment="1">
      <alignment/>
    </xf>
    <xf numFmtId="3" fontId="13" fillId="0" borderId="5" xfId="0" applyNumberFormat="1" applyFont="1" applyBorder="1" applyAlignment="1">
      <alignment/>
    </xf>
    <xf numFmtId="0" fontId="13" fillId="0" borderId="6" xfId="0" applyFont="1" applyFill="1" applyBorder="1" applyAlignment="1">
      <alignment/>
    </xf>
    <xf numFmtId="3" fontId="18" fillId="0" borderId="0" xfId="0" applyNumberFormat="1" applyFont="1" applyAlignment="1">
      <alignment/>
    </xf>
    <xf numFmtId="2" fontId="14" fillId="0" borderId="0" xfId="0" applyNumberFormat="1" applyFont="1" applyFill="1" applyAlignment="1">
      <alignment/>
    </xf>
    <xf numFmtId="3" fontId="13" fillId="0" borderId="0" xfId="0" applyNumberFormat="1" applyFont="1" applyFill="1" applyAlignment="1">
      <alignment/>
    </xf>
    <xf numFmtId="2" fontId="13" fillId="0" borderId="0" xfId="0" applyNumberFormat="1" applyFont="1" applyFill="1" applyAlignment="1">
      <alignment horizontal="center"/>
    </xf>
    <xf numFmtId="3" fontId="13" fillId="0" borderId="7" xfId="0" applyNumberFormat="1" applyFont="1" applyBorder="1" applyAlignment="1">
      <alignment horizontal="center"/>
    </xf>
    <xf numFmtId="3" fontId="13" fillId="0" borderId="3" xfId="0" applyNumberFormat="1" applyFont="1" applyBorder="1" applyAlignment="1">
      <alignment horizontal="center"/>
    </xf>
    <xf numFmtId="4" fontId="14" fillId="0" borderId="8" xfId="0" applyNumberFormat="1" applyFont="1" applyFill="1" applyBorder="1" applyAlignment="1">
      <alignment horizontal="center"/>
    </xf>
    <xf numFmtId="3" fontId="13" fillId="0" borderId="9" xfId="0" applyNumberFormat="1" applyFont="1" applyBorder="1" applyAlignment="1">
      <alignment horizontal="center"/>
    </xf>
    <xf numFmtId="3" fontId="13" fillId="0" borderId="2" xfId="0" applyNumberFormat="1" applyFont="1" applyBorder="1" applyAlignment="1">
      <alignment horizontal="center"/>
    </xf>
    <xf numFmtId="4" fontId="14" fillId="0" borderId="10" xfId="0" applyNumberFormat="1" applyFont="1" applyBorder="1" applyAlignment="1">
      <alignment horizontal="center"/>
    </xf>
    <xf numFmtId="10" fontId="19" fillId="0" borderId="0" xfId="0" applyNumberFormat="1" applyFont="1" applyBorder="1" applyAlignment="1">
      <alignment horizontal="center"/>
    </xf>
    <xf numFmtId="2" fontId="19" fillId="0" borderId="0" xfId="0" applyNumberFormat="1" applyFont="1" applyAlignment="1">
      <alignment horizontal="center"/>
    </xf>
    <xf numFmtId="0" fontId="20" fillId="0" borderId="0" xfId="0" applyFont="1" applyAlignment="1">
      <alignment/>
    </xf>
    <xf numFmtId="4" fontId="14" fillId="0" borderId="4" xfId="0" applyNumberFormat="1" applyFont="1" applyFill="1" applyBorder="1" applyAlignment="1">
      <alignment/>
    </xf>
    <xf numFmtId="0" fontId="13" fillId="0" borderId="4" xfId="0" applyFont="1" applyBorder="1" applyAlignment="1">
      <alignment/>
    </xf>
    <xf numFmtId="0" fontId="13" fillId="0" borderId="10" xfId="0" applyFont="1" applyBorder="1" applyAlignment="1">
      <alignment/>
    </xf>
    <xf numFmtId="3" fontId="13" fillId="0" borderId="5" xfId="0" applyNumberFormat="1" applyFont="1" applyBorder="1" applyAlignment="1">
      <alignment horizontal="center"/>
    </xf>
    <xf numFmtId="10" fontId="22"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Oregon Production Index Area Hatchery Coho Survival</a:t>
            </a:r>
          </a:p>
        </c:rich>
      </c:tx>
      <c:layout/>
      <c:spPr>
        <a:noFill/>
        <a:ln>
          <a:noFill/>
        </a:ln>
      </c:spPr>
    </c:title>
    <c:plotArea>
      <c:layout>
        <c:manualLayout>
          <c:xMode val="edge"/>
          <c:yMode val="edge"/>
          <c:x val="0.03375"/>
          <c:y val="0.07375"/>
          <c:w val="0.9425"/>
          <c:h val="0.87625"/>
        </c:manualLayout>
      </c:layout>
      <c:lineChart>
        <c:grouping val="standard"/>
        <c:varyColors val="0"/>
        <c:ser>
          <c:idx val="1"/>
          <c:order val="0"/>
          <c:tx>
            <c:strRef>
              <c:f>OPI!$I$1:$I$4</c:f>
              <c:strCache>
                <c:ptCount val="1"/>
                <c:pt idx="0">
                  <c:v>Estimated OPI H Coho % Surv.</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FF"/>
                </a:solidFill>
              </a:ln>
            </c:spPr>
          </c:marker>
          <c:cat>
            <c:numRef>
              <c:f>OPI!$C$5:$C$24</c:f>
              <c:numCache>
                <c:ptCount val="2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numCache>
            </c:numRef>
          </c:cat>
          <c:val>
            <c:numRef>
              <c:f>OPI!$I$5:$I$24</c:f>
              <c:numCache>
                <c:ptCount val="20"/>
                <c:pt idx="0">
                  <c:v>0.02569693094629156</c:v>
                </c:pt>
                <c:pt idx="1">
                  <c:v>0.03163372916972096</c:v>
                </c:pt>
                <c:pt idx="2">
                  <c:v>0.08142268632268633</c:v>
                </c:pt>
                <c:pt idx="3">
                  <c:v>0.028200704225352112</c:v>
                </c:pt>
                <c:pt idx="4">
                  <c:v>0.05405377720870679</c:v>
                </c:pt>
                <c:pt idx="5">
                  <c:v>0.049533393231506434</c:v>
                </c:pt>
                <c:pt idx="6">
                  <c:v>0.022338074676149355</c:v>
                </c:pt>
                <c:pt idx="7">
                  <c:v>0.04910295454545454</c:v>
                </c:pt>
                <c:pt idx="8">
                  <c:v>0.013141160502205634</c:v>
                </c:pt>
                <c:pt idx="9">
                  <c:v>0.006806913923390949</c:v>
                </c:pt>
                <c:pt idx="10">
                  <c:v>0.005122553423165918</c:v>
                </c:pt>
                <c:pt idx="11">
                  <c:v>0.0048588516746411485</c:v>
                </c:pt>
                <c:pt idx="12">
                  <c:v>0.006303463522476052</c:v>
                </c:pt>
                <c:pt idx="13">
                  <c:v>0.006265966628308401</c:v>
                </c:pt>
                <c:pt idx="14">
                  <c:v>0.008472074938140686</c:v>
                </c:pt>
                <c:pt idx="15">
                  <c:v>0.011601789962614703</c:v>
                </c:pt>
                <c:pt idx="16">
                  <c:v>0.02333912602729807</c:v>
                </c:pt>
                <c:pt idx="17">
                  <c:v>0.044756305898904634</c:v>
                </c:pt>
                <c:pt idx="18">
                  <c:v>0.024945217096336497</c:v>
                </c:pt>
                <c:pt idx="19">
                  <c:v>0.039248246585455886</c:v>
                </c:pt>
              </c:numCache>
            </c:numRef>
          </c:val>
          <c:smooth val="0"/>
        </c:ser>
        <c:ser>
          <c:idx val="0"/>
          <c:order val="1"/>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OPI!$C$5:$C$24</c:f>
              <c:numCache>
                <c:ptCount val="20"/>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numCache>
            </c:numRef>
          </c:cat>
          <c:val>
            <c:numRef>
              <c:f>OPI!$J$5:$J$24</c:f>
              <c:numCache>
                <c:ptCount val="20"/>
                <c:pt idx="0">
                  <c:v>0.04274778129073351</c:v>
                </c:pt>
                <c:pt idx="1">
                  <c:v>0.04274778129073351</c:v>
                </c:pt>
                <c:pt idx="2">
                  <c:v>0.04274778129073351</c:v>
                </c:pt>
                <c:pt idx="3">
                  <c:v>0.04274778129073351</c:v>
                </c:pt>
                <c:pt idx="4">
                  <c:v>0.04274778129073351</c:v>
                </c:pt>
                <c:pt idx="5">
                  <c:v>0.04274778129073351</c:v>
                </c:pt>
                <c:pt idx="6">
                  <c:v>0.04274778129073351</c:v>
                </c:pt>
                <c:pt idx="7">
                  <c:v>0.04274778129073351</c:v>
                </c:pt>
              </c:numCache>
            </c:numRef>
          </c: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OPI!$K$5:$K$24</c:f>
              <c:numCache>
                <c:ptCount val="20"/>
                <c:pt idx="8">
                  <c:v>0.007821596821867937</c:v>
                </c:pt>
                <c:pt idx="9">
                  <c:v>0.007821596821867937</c:v>
                </c:pt>
                <c:pt idx="10">
                  <c:v>0.007821596821867937</c:v>
                </c:pt>
                <c:pt idx="11">
                  <c:v>0.007821596821867937</c:v>
                </c:pt>
                <c:pt idx="12">
                  <c:v>0.007821596821867937</c:v>
                </c:pt>
                <c:pt idx="13">
                  <c:v>0.007821596821867937</c:v>
                </c:pt>
                <c:pt idx="14">
                  <c:v>0.007821596821867937</c:v>
                </c:pt>
                <c:pt idx="15">
                  <c:v>0.007821596821867937</c:v>
                </c:pt>
              </c:numCache>
            </c:numRef>
          </c:val>
          <c:smooth val="0"/>
        </c:ser>
        <c:ser>
          <c:idx val="3"/>
          <c:order val="3"/>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OPI!$L$5:$L$24</c:f>
              <c:numCache>
                <c:ptCount val="20"/>
                <c:pt idx="16">
                  <c:v>0.03307222390199877</c:v>
                </c:pt>
                <c:pt idx="17">
                  <c:v>0.03307222390199877</c:v>
                </c:pt>
                <c:pt idx="18">
                  <c:v>0.03307222390199877</c:v>
                </c:pt>
                <c:pt idx="19">
                  <c:v>0.03307222390199877</c:v>
                </c:pt>
              </c:numCache>
            </c:numRef>
          </c:val>
          <c:smooth val="0"/>
        </c:ser>
        <c:marker val="1"/>
        <c:axId val="53378735"/>
        <c:axId val="10646568"/>
      </c:lineChart>
      <c:catAx>
        <c:axId val="53378735"/>
        <c:scaling>
          <c:orientation val="minMax"/>
        </c:scaling>
        <c:axPos val="b"/>
        <c:title>
          <c:tx>
            <c:rich>
              <a:bodyPr vert="horz" rot="0" anchor="ctr"/>
              <a:lstStyle/>
              <a:p>
                <a:pPr algn="ctr">
                  <a:defRPr/>
                </a:pPr>
                <a:r>
                  <a:rPr lang="en-US" cap="none" sz="1325" b="1" i="0" u="none" baseline="0"/>
                  <a:t>Adult Return Year</a:t>
                </a:r>
              </a:p>
            </c:rich>
          </c:tx>
          <c:layout/>
          <c:overlay val="0"/>
          <c:spPr>
            <a:noFill/>
            <a:ln>
              <a:noFill/>
            </a:ln>
          </c:spPr>
        </c:title>
        <c:delete val="0"/>
        <c:numFmt formatCode="General" sourceLinked="1"/>
        <c:majorTickMark val="out"/>
        <c:minorTickMark val="none"/>
        <c:tickLblPos val="nextTo"/>
        <c:crossAx val="10646568"/>
        <c:crosses val="autoZero"/>
        <c:auto val="1"/>
        <c:lblOffset val="100"/>
        <c:noMultiLvlLbl val="0"/>
      </c:catAx>
      <c:valAx>
        <c:axId val="10646568"/>
        <c:scaling>
          <c:orientation val="minMax"/>
        </c:scaling>
        <c:axPos val="l"/>
        <c:title>
          <c:tx>
            <c:rich>
              <a:bodyPr vert="horz" rot="-5400000" anchor="ctr"/>
              <a:lstStyle/>
              <a:p>
                <a:pPr algn="ctr">
                  <a:defRPr/>
                </a:pPr>
                <a:r>
                  <a:rPr lang="en-US" cap="none" sz="1325" b="1" i="0" u="none" baseline="0"/>
                  <a:t>Min. Percent Survival</a:t>
                </a:r>
              </a:p>
            </c:rich>
          </c:tx>
          <c:layout/>
          <c:overlay val="0"/>
          <c:spPr>
            <a:noFill/>
            <a:ln>
              <a:noFill/>
            </a:ln>
          </c:spPr>
        </c:title>
        <c:majorGridlines/>
        <c:delete val="0"/>
        <c:numFmt formatCode="0.0%" sourceLinked="0"/>
        <c:majorTickMark val="out"/>
        <c:minorTickMark val="none"/>
        <c:tickLblPos val="nextTo"/>
        <c:crossAx val="53378735"/>
        <c:crossesAt val="1"/>
        <c:crossBetween val="between"/>
        <c:dispUnits/>
        <c:majorUnit val="0.01"/>
      </c:valAx>
      <c:spPr>
        <a:noFill/>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06"/>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cdr:x>
      <cdr:y>0.47825</cdr:y>
    </cdr:from>
    <cdr:to>
      <cdr:x>0.371</cdr:x>
      <cdr:y>0.5125</cdr:y>
    </cdr:to>
    <cdr:sp>
      <cdr:nvSpPr>
        <cdr:cNvPr id="1" name="TextBox 1"/>
        <cdr:cNvSpPr txBox="1">
          <a:spLocks noChangeArrowheads="1"/>
        </cdr:cNvSpPr>
      </cdr:nvSpPr>
      <cdr:spPr>
        <a:xfrm>
          <a:off x="1466850" y="2828925"/>
          <a:ext cx="1743075" cy="200025"/>
        </a:xfrm>
        <a:prstGeom prst="rect">
          <a:avLst/>
        </a:prstGeom>
        <a:noFill/>
        <a:ln w="9525" cmpd="sng">
          <a:noFill/>
        </a:ln>
      </cdr:spPr>
      <cdr:txBody>
        <a:bodyPr vertOverflow="clip" wrap="square">
          <a:spAutoFit/>
        </a:bodyPr>
        <a:p>
          <a:pPr algn="l">
            <a:defRPr/>
          </a:pPr>
          <a:r>
            <a:rPr lang="en-US" cap="none" sz="1000" b="1" i="0" u="none" baseline="0"/>
            <a:t>1984 to 1991 average = 4.27%</a:t>
          </a:r>
        </a:p>
      </cdr:txBody>
    </cdr:sp>
  </cdr:relSizeAnchor>
  <cdr:relSizeAnchor xmlns:cdr="http://schemas.openxmlformats.org/drawingml/2006/chartDrawing">
    <cdr:from>
      <cdr:x>0.516</cdr:x>
      <cdr:y>0.7875</cdr:y>
    </cdr:from>
    <cdr:to>
      <cdr:x>0.717</cdr:x>
      <cdr:y>0.82175</cdr:y>
    </cdr:to>
    <cdr:sp>
      <cdr:nvSpPr>
        <cdr:cNvPr id="2" name="TextBox 2"/>
        <cdr:cNvSpPr txBox="1">
          <a:spLocks noChangeArrowheads="1"/>
        </cdr:cNvSpPr>
      </cdr:nvSpPr>
      <cdr:spPr>
        <a:xfrm>
          <a:off x="4476750" y="4667250"/>
          <a:ext cx="1743075" cy="200025"/>
        </a:xfrm>
        <a:prstGeom prst="rect">
          <a:avLst/>
        </a:prstGeom>
        <a:noFill/>
        <a:ln w="9525" cmpd="sng">
          <a:noFill/>
        </a:ln>
      </cdr:spPr>
      <cdr:txBody>
        <a:bodyPr vertOverflow="clip" wrap="square">
          <a:spAutoFit/>
        </a:bodyPr>
        <a:p>
          <a:pPr algn="l">
            <a:defRPr/>
          </a:pPr>
          <a:r>
            <a:rPr lang="en-US" cap="none" sz="1000" b="1" i="0" u="none" baseline="0"/>
            <a:t>1992 to 1999 average = 0.78%</a:t>
          </a:r>
        </a:p>
      </cdr:txBody>
    </cdr:sp>
  </cdr:relSizeAnchor>
  <cdr:relSizeAnchor xmlns:cdr="http://schemas.openxmlformats.org/drawingml/2006/chartDrawing">
    <cdr:from>
      <cdr:x>0.78025</cdr:x>
      <cdr:y>0.56475</cdr:y>
    </cdr:from>
    <cdr:to>
      <cdr:x>0.98125</cdr:x>
      <cdr:y>0.599</cdr:y>
    </cdr:to>
    <cdr:sp>
      <cdr:nvSpPr>
        <cdr:cNvPr id="3" name="TextBox 3"/>
        <cdr:cNvSpPr txBox="1">
          <a:spLocks noChangeArrowheads="1"/>
        </cdr:cNvSpPr>
      </cdr:nvSpPr>
      <cdr:spPr>
        <a:xfrm>
          <a:off x="6762750" y="3343275"/>
          <a:ext cx="1743075" cy="200025"/>
        </a:xfrm>
        <a:prstGeom prst="rect">
          <a:avLst/>
        </a:prstGeom>
        <a:noFill/>
        <a:ln w="9525" cmpd="sng">
          <a:noFill/>
        </a:ln>
      </cdr:spPr>
      <cdr:txBody>
        <a:bodyPr vertOverflow="clip" wrap="square">
          <a:spAutoFit/>
        </a:bodyPr>
        <a:p>
          <a:pPr algn="l">
            <a:defRPr/>
          </a:pPr>
          <a:r>
            <a:rPr lang="en-US" cap="none" sz="1000" b="1" i="0" u="none" baseline="0"/>
            <a:t>2000 to 2003 average = 3.31%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75"/>
  <sheetViews>
    <sheetView tabSelected="1" workbookViewId="0" topLeftCell="A1">
      <selection activeCell="A7" sqref="A7"/>
    </sheetView>
  </sheetViews>
  <sheetFormatPr defaultColWidth="9.140625" defaultRowHeight="12.75"/>
  <cols>
    <col min="1" max="16384" width="9.140625" style="7" customWidth="1"/>
  </cols>
  <sheetData>
    <row r="1" ht="18.75">
      <c r="A1" s="71" t="s">
        <v>80</v>
      </c>
    </row>
    <row r="2" ht="12.75">
      <c r="A2" s="7" t="s">
        <v>106</v>
      </c>
    </row>
    <row r="3" ht="12.75">
      <c r="A3" s="7" t="s">
        <v>81</v>
      </c>
    </row>
    <row r="4" ht="12.75">
      <c r="A4" s="7" t="s">
        <v>82</v>
      </c>
    </row>
    <row r="6" ht="12.75">
      <c r="A6" s="72" t="s">
        <v>12</v>
      </c>
    </row>
    <row r="7" ht="12.75">
      <c r="A7" s="7" t="s">
        <v>107</v>
      </c>
    </row>
    <row r="8" ht="12.75">
      <c r="A8" s="7" t="s">
        <v>114</v>
      </c>
    </row>
    <row r="10" ht="12.75">
      <c r="A10" s="72" t="s">
        <v>11</v>
      </c>
    </row>
    <row r="11" ht="12.75">
      <c r="A11" s="7" t="s">
        <v>15</v>
      </c>
    </row>
    <row r="12" ht="12.75">
      <c r="A12" s="7" t="s">
        <v>13</v>
      </c>
    </row>
    <row r="13" ht="12.75">
      <c r="A13" s="7" t="s">
        <v>108</v>
      </c>
    </row>
    <row r="14" ht="12.75">
      <c r="A14" s="7" t="s">
        <v>83</v>
      </c>
    </row>
    <row r="15" ht="12.75">
      <c r="A15" s="7" t="s">
        <v>84</v>
      </c>
    </row>
    <row r="16" ht="12.75">
      <c r="A16" s="7" t="s">
        <v>109</v>
      </c>
    </row>
    <row r="17" ht="12.75">
      <c r="A17" s="7" t="s">
        <v>110</v>
      </c>
    </row>
    <row r="21" ht="18.75">
      <c r="A21" s="71" t="s">
        <v>69</v>
      </c>
    </row>
    <row r="22" ht="12.75">
      <c r="A22" s="7" t="s">
        <v>72</v>
      </c>
    </row>
    <row r="23" ht="12.75">
      <c r="A23" s="7" t="s">
        <v>73</v>
      </c>
    </row>
    <row r="24" ht="12.75">
      <c r="A24" s="7" t="s">
        <v>74</v>
      </c>
    </row>
    <row r="26" ht="12.75">
      <c r="A26" s="72" t="s">
        <v>12</v>
      </c>
    </row>
    <row r="27" ht="12.75">
      <c r="A27" s="7" t="s">
        <v>75</v>
      </c>
    </row>
    <row r="28" ht="12.75">
      <c r="A28" s="7" t="s">
        <v>78</v>
      </c>
    </row>
    <row r="29" ht="12.75">
      <c r="A29" s="7" t="s">
        <v>103</v>
      </c>
    </row>
    <row r="30" ht="12.75">
      <c r="A30" s="7" t="s">
        <v>76</v>
      </c>
    </row>
    <row r="31" ht="12.75">
      <c r="A31" s="7" t="s">
        <v>77</v>
      </c>
    </row>
    <row r="33" ht="12.75">
      <c r="A33" s="72" t="s">
        <v>11</v>
      </c>
    </row>
    <row r="34" ht="12.75">
      <c r="A34" s="7" t="s">
        <v>15</v>
      </c>
    </row>
    <row r="35" ht="12.75">
      <c r="A35" s="7" t="s">
        <v>13</v>
      </c>
    </row>
    <row r="36" ht="12.75">
      <c r="A36" s="7" t="s">
        <v>14</v>
      </c>
    </row>
    <row r="37" ht="12.75">
      <c r="A37" s="7" t="s">
        <v>104</v>
      </c>
    </row>
    <row r="38" ht="12.75">
      <c r="A38" s="7" t="s">
        <v>30</v>
      </c>
    </row>
    <row r="39" ht="12.75">
      <c r="A39" s="7" t="s">
        <v>31</v>
      </c>
    </row>
    <row r="40" ht="12.75">
      <c r="A40" s="7" t="s">
        <v>32</v>
      </c>
    </row>
    <row r="41" ht="12.75">
      <c r="A41" s="7" t="s">
        <v>70</v>
      </c>
    </row>
    <row r="42" ht="12.75">
      <c r="A42" s="7" t="s">
        <v>71</v>
      </c>
    </row>
    <row r="43" ht="12.75">
      <c r="A43" s="7" t="s">
        <v>105</v>
      </c>
    </row>
    <row r="44" ht="12.75">
      <c r="A44" s="7" t="s">
        <v>79</v>
      </c>
    </row>
    <row r="48" ht="18.75">
      <c r="A48" s="71" t="s">
        <v>85</v>
      </c>
    </row>
    <row r="49" ht="12.75">
      <c r="A49" s="7" t="s">
        <v>86</v>
      </c>
    </row>
    <row r="50" ht="12.75">
      <c r="A50" s="7" t="s">
        <v>87</v>
      </c>
    </row>
    <row r="51" ht="12.75">
      <c r="A51" s="7" t="s">
        <v>88</v>
      </c>
    </row>
    <row r="52" ht="12.75">
      <c r="A52" s="7" t="s">
        <v>89</v>
      </c>
    </row>
    <row r="53" ht="12.75">
      <c r="A53" s="7" t="s">
        <v>90</v>
      </c>
    </row>
    <row r="54" ht="12.75">
      <c r="A54" s="7" t="s">
        <v>91</v>
      </c>
    </row>
    <row r="56" ht="12.75">
      <c r="A56" s="72" t="s">
        <v>12</v>
      </c>
    </row>
    <row r="57" ht="12.75">
      <c r="A57" s="7" t="s">
        <v>92</v>
      </c>
    </row>
    <row r="58" ht="12.75">
      <c r="A58" s="7" t="s">
        <v>101</v>
      </c>
    </row>
    <row r="59" ht="12.75">
      <c r="A59" s="7" t="s">
        <v>102</v>
      </c>
    </row>
    <row r="61" ht="12.75">
      <c r="A61" s="72" t="s">
        <v>11</v>
      </c>
    </row>
    <row r="62" ht="12.75">
      <c r="A62" s="98" t="s">
        <v>95</v>
      </c>
    </row>
    <row r="63" ht="12.75">
      <c r="A63" s="7" t="s">
        <v>111</v>
      </c>
    </row>
    <row r="64" ht="12.75">
      <c r="A64" s="7" t="s">
        <v>93</v>
      </c>
    </row>
    <row r="65" ht="12.75">
      <c r="A65" s="7" t="s">
        <v>112</v>
      </c>
    </row>
    <row r="66" ht="12.75">
      <c r="A66" s="7" t="s">
        <v>94</v>
      </c>
    </row>
    <row r="68" ht="12.75">
      <c r="A68" s="98" t="s">
        <v>96</v>
      </c>
    </row>
    <row r="69" ht="12.75">
      <c r="A69" s="7" t="s">
        <v>15</v>
      </c>
    </row>
    <row r="70" ht="12.75">
      <c r="A70" s="7" t="s">
        <v>13</v>
      </c>
    </row>
    <row r="71" ht="12.75">
      <c r="A71" s="7" t="s">
        <v>97</v>
      </c>
    </row>
    <row r="72" ht="12.75">
      <c r="A72" s="7" t="s">
        <v>99</v>
      </c>
    </row>
    <row r="73" ht="12.75">
      <c r="A73" s="7" t="s">
        <v>98</v>
      </c>
    </row>
    <row r="74" ht="12.75">
      <c r="A74" s="7" t="s">
        <v>113</v>
      </c>
    </row>
    <row r="75" ht="12.75">
      <c r="A75" s="7" t="s">
        <v>100</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zoomScale="93" zoomScaleNormal="93" workbookViewId="0" topLeftCell="A1">
      <selection activeCell="I4" sqref="I4"/>
    </sheetView>
  </sheetViews>
  <sheetFormatPr defaultColWidth="9.140625" defaultRowHeight="12.75"/>
  <cols>
    <col min="1" max="1" width="2.8515625" style="0" customWidth="1"/>
    <col min="2" max="3" width="8.8515625" style="1" customWidth="1"/>
    <col min="4" max="7" width="11.7109375" style="0" customWidth="1"/>
    <col min="8" max="8" width="1.7109375" style="0" customWidth="1"/>
  </cols>
  <sheetData>
    <row r="1" spans="4:9" ht="12.75">
      <c r="D1" s="1" t="s">
        <v>42</v>
      </c>
      <c r="E1" s="36" t="s">
        <v>41</v>
      </c>
      <c r="F1" s="36"/>
      <c r="G1" s="18"/>
      <c r="I1" t="s">
        <v>43</v>
      </c>
    </row>
    <row r="2" spans="4:9" ht="12.75">
      <c r="D2" s="2" t="s">
        <v>2</v>
      </c>
      <c r="E2" s="2"/>
      <c r="F2" s="2" t="s">
        <v>2</v>
      </c>
      <c r="G2" s="2" t="s">
        <v>0</v>
      </c>
      <c r="I2" s="41" t="s">
        <v>2</v>
      </c>
    </row>
    <row r="3" spans="2:9" ht="12.75">
      <c r="B3" s="1" t="s">
        <v>16</v>
      </c>
      <c r="C3" s="1" t="s">
        <v>8</v>
      </c>
      <c r="D3" s="2" t="s">
        <v>35</v>
      </c>
      <c r="E3" s="2" t="s">
        <v>0</v>
      </c>
      <c r="F3" s="2" t="s">
        <v>37</v>
      </c>
      <c r="G3" s="2" t="s">
        <v>10</v>
      </c>
      <c r="I3" s="41" t="s">
        <v>44</v>
      </c>
    </row>
    <row r="4" spans="2:9" ht="13.5" thickBot="1">
      <c r="B4" s="11" t="s">
        <v>17</v>
      </c>
      <c r="C4" s="11" t="s">
        <v>1</v>
      </c>
      <c r="D4" s="11" t="s">
        <v>19</v>
      </c>
      <c r="E4" s="11" t="s">
        <v>36</v>
      </c>
      <c r="F4" s="11" t="s">
        <v>38</v>
      </c>
      <c r="G4" s="11" t="s">
        <v>9</v>
      </c>
      <c r="I4" s="42" t="s">
        <v>45</v>
      </c>
    </row>
    <row r="5" spans="2:10" ht="12.75">
      <c r="B5" s="1">
        <v>1981</v>
      </c>
      <c r="C5" s="1">
        <v>1984</v>
      </c>
      <c r="D5" s="40">
        <v>32.2</v>
      </c>
      <c r="E5" s="38">
        <v>74.5</v>
      </c>
      <c r="F5" s="38">
        <v>937</v>
      </c>
      <c r="G5" s="43">
        <v>0.32</v>
      </c>
      <c r="I5" s="6">
        <f>(((F5-(E5/(1-G5)))*1000)/(D5*1000000))</f>
        <v>0.02569693094629156</v>
      </c>
      <c r="J5" s="5">
        <f>AVERAGE(I5:I12)</f>
        <v>0.04274778129073351</v>
      </c>
    </row>
    <row r="6" spans="2:10" ht="12.75">
      <c r="B6" s="1">
        <v>1982</v>
      </c>
      <c r="C6" s="1">
        <v>1985</v>
      </c>
      <c r="D6" s="40">
        <v>35.9</v>
      </c>
      <c r="E6" s="38">
        <v>73.9</v>
      </c>
      <c r="F6" s="38">
        <v>1265.3</v>
      </c>
      <c r="G6" s="43">
        <v>0.43</v>
      </c>
      <c r="I6" s="6">
        <f aca="true" t="shared" si="0" ref="I6:I24">(((F6-(E6/(1-G6)))*1000)/(D6*1000000))</f>
        <v>0.03163372916972096</v>
      </c>
      <c r="J6" s="5">
        <f>J5</f>
        <v>0.04274778129073351</v>
      </c>
    </row>
    <row r="7" spans="2:10" ht="12.75">
      <c r="B7" s="1">
        <v>1983</v>
      </c>
      <c r="C7" s="1">
        <v>1986</v>
      </c>
      <c r="D7" s="40">
        <v>37</v>
      </c>
      <c r="E7" s="38">
        <v>70</v>
      </c>
      <c r="F7" s="38">
        <v>3118.7</v>
      </c>
      <c r="G7" s="43">
        <v>0.34</v>
      </c>
      <c r="I7" s="6">
        <f t="shared" si="0"/>
        <v>0.08142268632268633</v>
      </c>
      <c r="J7" s="5">
        <f aca="true" t="shared" si="1" ref="J7:J12">J6</f>
        <v>0.04274778129073351</v>
      </c>
    </row>
    <row r="8" spans="2:10" ht="12.75">
      <c r="B8" s="1">
        <v>1984</v>
      </c>
      <c r="C8" s="1">
        <v>1987</v>
      </c>
      <c r="D8" s="40">
        <v>42.6</v>
      </c>
      <c r="E8" s="38">
        <v>30.1</v>
      </c>
      <c r="F8" s="38">
        <v>1276.6</v>
      </c>
      <c r="G8" s="43">
        <v>0.6</v>
      </c>
      <c r="I8" s="6">
        <f t="shared" si="0"/>
        <v>0.028200704225352112</v>
      </c>
      <c r="J8" s="5">
        <f t="shared" si="1"/>
        <v>0.04274778129073351</v>
      </c>
    </row>
    <row r="9" spans="2:10" ht="12.75">
      <c r="B9" s="1">
        <v>1985</v>
      </c>
      <c r="C9" s="1">
        <v>1988</v>
      </c>
      <c r="D9" s="40">
        <v>35.5</v>
      </c>
      <c r="E9" s="38">
        <v>56.8</v>
      </c>
      <c r="F9" s="38">
        <v>2048</v>
      </c>
      <c r="G9" s="43">
        <v>0.56</v>
      </c>
      <c r="I9" s="6">
        <f t="shared" si="0"/>
        <v>0.05405377720870679</v>
      </c>
      <c r="J9" s="5">
        <f t="shared" si="1"/>
        <v>0.04274778129073351</v>
      </c>
    </row>
    <row r="10" spans="2:10" ht="12.75">
      <c r="B10" s="1">
        <v>1986</v>
      </c>
      <c r="C10" s="1">
        <v>1989</v>
      </c>
      <c r="D10" s="40">
        <v>37.1</v>
      </c>
      <c r="E10" s="38">
        <v>46.4</v>
      </c>
      <c r="F10" s="38">
        <v>1940.8</v>
      </c>
      <c r="G10" s="43">
        <v>0.55</v>
      </c>
      <c r="I10" s="6">
        <f t="shared" si="0"/>
        <v>0.049533393231506434</v>
      </c>
      <c r="J10" s="5">
        <f t="shared" si="1"/>
        <v>0.04274778129073351</v>
      </c>
    </row>
    <row r="11" spans="2:10" ht="12.75">
      <c r="B11" s="1">
        <v>1987</v>
      </c>
      <c r="C11" s="1">
        <v>1990</v>
      </c>
      <c r="D11" s="40">
        <v>38.1</v>
      </c>
      <c r="E11" s="38">
        <v>20.9</v>
      </c>
      <c r="F11" s="38">
        <v>918.5</v>
      </c>
      <c r="G11" s="43">
        <v>0.69</v>
      </c>
      <c r="I11" s="6">
        <f t="shared" si="0"/>
        <v>0.022338074676149355</v>
      </c>
      <c r="J11" s="5">
        <f t="shared" si="1"/>
        <v>0.04274778129073351</v>
      </c>
    </row>
    <row r="12" spans="2:10" ht="12.75">
      <c r="B12" s="1">
        <v>1988</v>
      </c>
      <c r="C12" s="1">
        <v>1991</v>
      </c>
      <c r="D12" s="40">
        <v>40</v>
      </c>
      <c r="E12" s="38">
        <v>36.4</v>
      </c>
      <c r="F12" s="38">
        <v>2030.3</v>
      </c>
      <c r="G12" s="43">
        <v>0.45</v>
      </c>
      <c r="I12" s="103">
        <f t="shared" si="0"/>
        <v>0.04910295454545454</v>
      </c>
      <c r="J12" s="5">
        <f t="shared" si="1"/>
        <v>0.04274778129073351</v>
      </c>
    </row>
    <row r="13" spans="2:11" ht="12.75">
      <c r="B13" s="1">
        <v>1989</v>
      </c>
      <c r="C13" s="1">
        <v>1992</v>
      </c>
      <c r="D13" s="40">
        <v>42.1</v>
      </c>
      <c r="E13" s="38">
        <v>40.6</v>
      </c>
      <c r="F13" s="38">
        <v>636.1</v>
      </c>
      <c r="G13" s="43">
        <v>0.51</v>
      </c>
      <c r="I13" s="6">
        <f t="shared" si="0"/>
        <v>0.013141160502205634</v>
      </c>
      <c r="K13" s="5">
        <f>AVERAGE(I13:I20)</f>
        <v>0.007821596821867937</v>
      </c>
    </row>
    <row r="14" spans="2:11" ht="12.75">
      <c r="B14" s="1">
        <v>1990</v>
      </c>
      <c r="C14" s="1">
        <v>1993</v>
      </c>
      <c r="D14" s="40">
        <v>39.7</v>
      </c>
      <c r="E14" s="38">
        <v>54.5</v>
      </c>
      <c r="F14" s="38">
        <v>364.2</v>
      </c>
      <c r="G14" s="43">
        <v>0.42</v>
      </c>
      <c r="I14" s="6">
        <f t="shared" si="0"/>
        <v>0.006806913923390949</v>
      </c>
      <c r="K14" s="5">
        <f>K13</f>
        <v>0.007821596821867937</v>
      </c>
    </row>
    <row r="15" spans="2:11" ht="12.75">
      <c r="B15" s="1">
        <v>1991</v>
      </c>
      <c r="C15" s="1">
        <v>1994</v>
      </c>
      <c r="D15" s="40">
        <v>39.5</v>
      </c>
      <c r="E15" s="38">
        <v>43.3</v>
      </c>
      <c r="F15" s="38">
        <v>248.9</v>
      </c>
      <c r="G15" s="43">
        <v>0.07</v>
      </c>
      <c r="I15" s="6">
        <f t="shared" si="0"/>
        <v>0.005122553423165918</v>
      </c>
      <c r="K15" s="5">
        <f aca="true" t="shared" si="2" ref="K15:K20">K14</f>
        <v>0.007821596821867937</v>
      </c>
    </row>
    <row r="16" spans="2:11" ht="12.75">
      <c r="B16" s="1">
        <v>1992</v>
      </c>
      <c r="C16" s="1">
        <v>1995</v>
      </c>
      <c r="D16" s="40">
        <v>32.3</v>
      </c>
      <c r="E16" s="38">
        <v>52.5</v>
      </c>
      <c r="F16" s="38">
        <v>216.6</v>
      </c>
      <c r="G16" s="43">
        <v>0.12</v>
      </c>
      <c r="I16" s="6">
        <f t="shared" si="0"/>
        <v>0.0048588516746411485</v>
      </c>
      <c r="K16" s="5">
        <f t="shared" si="2"/>
        <v>0.007821596821867937</v>
      </c>
    </row>
    <row r="17" spans="2:11" ht="12.75">
      <c r="B17" s="1">
        <v>1993</v>
      </c>
      <c r="C17" s="1">
        <v>1996</v>
      </c>
      <c r="D17" s="40">
        <v>29.5</v>
      </c>
      <c r="E17" s="38">
        <v>73</v>
      </c>
      <c r="F17" s="38">
        <v>265.3</v>
      </c>
      <c r="G17" s="43">
        <v>0.08</v>
      </c>
      <c r="I17" s="6">
        <f t="shared" si="0"/>
        <v>0.006303463522476052</v>
      </c>
      <c r="K17" s="5">
        <f t="shared" si="2"/>
        <v>0.007821596821867937</v>
      </c>
    </row>
    <row r="18" spans="2:11" ht="12.75">
      <c r="B18" s="1">
        <v>1994</v>
      </c>
      <c r="C18" s="1">
        <v>1997</v>
      </c>
      <c r="D18" s="40">
        <v>31.6</v>
      </c>
      <c r="E18" s="38">
        <v>22.7</v>
      </c>
      <c r="F18" s="38">
        <v>223.8</v>
      </c>
      <c r="G18" s="43">
        <v>0.12</v>
      </c>
      <c r="I18" s="6">
        <f t="shared" si="0"/>
        <v>0.006265966628308401</v>
      </c>
      <c r="K18" s="5">
        <f t="shared" si="2"/>
        <v>0.007821596821867937</v>
      </c>
    </row>
    <row r="19" spans="2:11" ht="12.75">
      <c r="B19" s="1">
        <v>1995</v>
      </c>
      <c r="C19" s="1">
        <v>1998</v>
      </c>
      <c r="D19" s="40">
        <v>24.6</v>
      </c>
      <c r="E19" s="38">
        <v>30.9</v>
      </c>
      <c r="F19" s="38">
        <v>242</v>
      </c>
      <c r="G19" s="43">
        <v>0.08</v>
      </c>
      <c r="I19" s="6">
        <f t="shared" si="0"/>
        <v>0.008472074938140686</v>
      </c>
      <c r="K19" s="5">
        <f t="shared" si="2"/>
        <v>0.007821596821867937</v>
      </c>
    </row>
    <row r="20" spans="2:11" ht="12.75">
      <c r="B20" s="1">
        <v>1996</v>
      </c>
      <c r="C20" s="1">
        <v>1999</v>
      </c>
      <c r="D20" s="40">
        <v>29.1</v>
      </c>
      <c r="E20" s="38">
        <v>47.4</v>
      </c>
      <c r="F20" s="38">
        <v>389.7</v>
      </c>
      <c r="G20" s="43">
        <v>0.09</v>
      </c>
      <c r="I20" s="103">
        <f t="shared" si="0"/>
        <v>0.011601789962614703</v>
      </c>
      <c r="K20" s="5">
        <f t="shared" si="2"/>
        <v>0.007821596821867937</v>
      </c>
    </row>
    <row r="21" spans="2:12" ht="12.75">
      <c r="B21" s="1">
        <v>1997</v>
      </c>
      <c r="C21" s="1">
        <v>2000</v>
      </c>
      <c r="D21" s="40">
        <v>29.7</v>
      </c>
      <c r="E21" s="38">
        <v>66.8</v>
      </c>
      <c r="F21" s="38">
        <v>765</v>
      </c>
      <c r="G21" s="43">
        <v>0.07</v>
      </c>
      <c r="I21" s="6">
        <f t="shared" si="0"/>
        <v>0.02333912602729807</v>
      </c>
      <c r="L21" s="5">
        <f>AVERAGE(I21:I24)</f>
        <v>0.03307222390199877</v>
      </c>
    </row>
    <row r="22" spans="2:12" ht="12.75">
      <c r="B22" s="1">
        <v>1998</v>
      </c>
      <c r="C22" s="1">
        <v>2001</v>
      </c>
      <c r="D22" s="40">
        <v>32.1</v>
      </c>
      <c r="E22" s="38">
        <v>167.7</v>
      </c>
      <c r="F22" s="38">
        <v>1617</v>
      </c>
      <c r="G22" s="43">
        <v>0.07</v>
      </c>
      <c r="I22" s="6">
        <f t="shared" si="0"/>
        <v>0.044756305898904634</v>
      </c>
      <c r="L22" s="5">
        <f>L21</f>
        <v>0.03307222390199877</v>
      </c>
    </row>
    <row r="23" spans="2:12" ht="12.75">
      <c r="B23" s="1">
        <v>1999</v>
      </c>
      <c r="C23" s="1">
        <v>2002</v>
      </c>
      <c r="D23" s="40">
        <v>26.8</v>
      </c>
      <c r="E23" s="38">
        <v>253.5</v>
      </c>
      <c r="F23" s="38">
        <v>956.6</v>
      </c>
      <c r="G23" s="43">
        <v>0.12</v>
      </c>
      <c r="I23" s="6">
        <f t="shared" si="0"/>
        <v>0.024945217096336497</v>
      </c>
      <c r="L23" s="5">
        <f>L22</f>
        <v>0.03307222390199877</v>
      </c>
    </row>
    <row r="24" spans="2:12" ht="12.75">
      <c r="B24" s="1">
        <v>2000</v>
      </c>
      <c r="C24" s="1">
        <v>2003</v>
      </c>
      <c r="D24" s="40">
        <v>25.2</v>
      </c>
      <c r="E24" s="38">
        <v>238</v>
      </c>
      <c r="F24" s="38">
        <v>1265.8</v>
      </c>
      <c r="G24" s="43">
        <v>0.14</v>
      </c>
      <c r="I24" s="6">
        <f t="shared" si="0"/>
        <v>0.039248246585455886</v>
      </c>
      <c r="L24" s="5">
        <f>L23</f>
        <v>0.03307222390199877</v>
      </c>
    </row>
    <row r="25" spans="1:3" ht="12.75">
      <c r="A25" s="18"/>
      <c r="B25" s="2"/>
      <c r="C25" s="2"/>
    </row>
    <row r="26" spans="1:7" ht="12.75">
      <c r="A26" s="44"/>
      <c r="B26" s="2"/>
      <c r="C26" s="2"/>
      <c r="D26" s="39" t="s">
        <v>40</v>
      </c>
      <c r="E26" s="39" t="s">
        <v>39</v>
      </c>
      <c r="F26" s="39" t="s">
        <v>39</v>
      </c>
      <c r="G26" s="39"/>
    </row>
  </sheetData>
  <printOptions/>
  <pageMargins left="0.75" right="0.75" top="1" bottom="1" header="0.5" footer="0.5"/>
  <pageSetup fitToHeight="1" fitToWidth="1" horizontalDpi="300" verticalDpi="300" orientation="landscape" scale="88" r:id="rId1"/>
</worksheet>
</file>

<file path=xl/worksheets/sheet3.xml><?xml version="1.0" encoding="utf-8"?>
<worksheet xmlns="http://schemas.openxmlformats.org/spreadsheetml/2006/main" xmlns:r="http://schemas.openxmlformats.org/officeDocument/2006/relationships">
  <sheetPr>
    <pageSetUpPr fitToPage="1"/>
  </sheetPr>
  <dimension ref="A1:W26"/>
  <sheetViews>
    <sheetView zoomScale="93" zoomScaleNormal="93"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140625" defaultRowHeight="12.75"/>
  <cols>
    <col min="1" max="1" width="2.8515625" style="0" customWidth="1"/>
    <col min="2" max="3" width="8.8515625" style="1" customWidth="1"/>
    <col min="4" max="4" width="3.28125" style="1" customWidth="1"/>
    <col min="5" max="5" width="10.7109375" style="1" customWidth="1"/>
    <col min="6" max="6" width="3.28125" style="1" customWidth="1"/>
    <col min="7" max="7" width="10.8515625" style="5" customWidth="1"/>
    <col min="8" max="8" width="3.28125" style="1" customWidth="1"/>
    <col min="9" max="9" width="10.8515625" style="5" customWidth="1"/>
    <col min="10" max="10" width="3.28125" style="1" customWidth="1"/>
    <col min="11" max="12" width="10.7109375" style="8" customWidth="1"/>
    <col min="13" max="14" width="10.7109375" style="16" customWidth="1"/>
    <col min="16" max="16" width="10.7109375" style="16" customWidth="1"/>
    <col min="17" max="17" width="10.7109375" style="6" customWidth="1"/>
    <col min="18" max="18" width="2.7109375" style="0" customWidth="1"/>
    <col min="19" max="19" width="6.7109375" style="28" customWidth="1"/>
    <col min="20" max="20" width="6.7109375" style="0" bestFit="1" customWidth="1"/>
  </cols>
  <sheetData>
    <row r="1" spans="7:13" ht="12.75">
      <c r="G1" s="6" t="s">
        <v>0</v>
      </c>
      <c r="I1" s="6"/>
      <c r="K1" s="10"/>
      <c r="M1" s="8"/>
    </row>
    <row r="2" spans="5:17" ht="12.75">
      <c r="E2" s="1" t="s">
        <v>2</v>
      </c>
      <c r="G2" s="6" t="s">
        <v>5</v>
      </c>
      <c r="I2" s="6"/>
      <c r="K2" s="9"/>
      <c r="L2" s="9"/>
      <c r="M2" s="9" t="s">
        <v>21</v>
      </c>
      <c r="N2" s="32"/>
      <c r="O2" s="36"/>
      <c r="P2" s="32"/>
      <c r="Q2" s="17"/>
    </row>
    <row r="3" spans="2:19" ht="12.75">
      <c r="B3" s="1" t="s">
        <v>16</v>
      </c>
      <c r="C3" s="1" t="s">
        <v>8</v>
      </c>
      <c r="E3" s="1" t="s">
        <v>7</v>
      </c>
      <c r="G3" s="6" t="s">
        <v>10</v>
      </c>
      <c r="I3" s="27" t="s">
        <v>25</v>
      </c>
      <c r="K3" s="8" t="s">
        <v>18</v>
      </c>
      <c r="L3" s="8" t="s">
        <v>18</v>
      </c>
      <c r="M3" s="8" t="s">
        <v>22</v>
      </c>
      <c r="N3" s="8" t="s">
        <v>24</v>
      </c>
      <c r="O3" s="2" t="s">
        <v>33</v>
      </c>
      <c r="P3" s="8" t="s">
        <v>27</v>
      </c>
      <c r="Q3" s="6" t="s">
        <v>46</v>
      </c>
      <c r="S3" s="29"/>
    </row>
    <row r="4" spans="2:19" ht="13.5" thickBot="1">
      <c r="B4" s="11" t="s">
        <v>17</v>
      </c>
      <c r="C4" s="11" t="s">
        <v>1</v>
      </c>
      <c r="E4" s="11" t="s">
        <v>6</v>
      </c>
      <c r="G4" s="12" t="s">
        <v>9</v>
      </c>
      <c r="I4" s="12" t="s">
        <v>29</v>
      </c>
      <c r="K4" s="13" t="s">
        <v>19</v>
      </c>
      <c r="L4" s="13" t="s">
        <v>20</v>
      </c>
      <c r="M4" s="13" t="s">
        <v>23</v>
      </c>
      <c r="N4" s="13" t="s">
        <v>23</v>
      </c>
      <c r="O4" s="11" t="s">
        <v>34</v>
      </c>
      <c r="P4" s="13" t="s">
        <v>26</v>
      </c>
      <c r="Q4" s="12" t="s">
        <v>47</v>
      </c>
      <c r="S4" s="28" t="s">
        <v>28</v>
      </c>
    </row>
    <row r="5" spans="2:19" ht="12.75">
      <c r="B5" s="1">
        <v>1981</v>
      </c>
      <c r="C5" s="1">
        <v>1984</v>
      </c>
      <c r="E5" s="3">
        <v>0.31894360869304783</v>
      </c>
      <c r="G5" s="31">
        <v>0.05310994073866791</v>
      </c>
      <c r="I5" s="6">
        <f>1-E5-G5</f>
        <v>0.6279464505682842</v>
      </c>
      <c r="K5" s="14">
        <v>2826770</v>
      </c>
      <c r="L5" s="34">
        <v>28226</v>
      </c>
      <c r="M5" s="16">
        <f>ROUND(P5*E5,0)</f>
        <v>14337</v>
      </c>
      <c r="N5" s="16">
        <f>ROUND(P5*G5,0)</f>
        <v>2387</v>
      </c>
      <c r="P5" s="16">
        <f aca="true" t="shared" si="0" ref="P5:P14">ROUND(L5/I5,0)</f>
        <v>44950</v>
      </c>
      <c r="Q5" s="6">
        <f aca="true" t="shared" si="1" ref="Q5:Q24">P5/K5</f>
        <v>0.015901541335163454</v>
      </c>
      <c r="S5" s="30">
        <f>P5-SUM(L5:N5)</f>
        <v>0</v>
      </c>
    </row>
    <row r="6" spans="2:19" ht="12.75">
      <c r="B6" s="1">
        <v>1982</v>
      </c>
      <c r="C6" s="1">
        <v>1985</v>
      </c>
      <c r="E6" s="3">
        <v>0.4318827059522053</v>
      </c>
      <c r="G6" s="31">
        <v>0.035968640392531025</v>
      </c>
      <c r="I6" s="6">
        <f aca="true" t="shared" si="2" ref="I6:I14">1-E6-G6</f>
        <v>0.5321486536552638</v>
      </c>
      <c r="K6" s="14">
        <v>4459337</v>
      </c>
      <c r="L6" s="34">
        <v>17980</v>
      </c>
      <c r="M6" s="16">
        <f>ROUND(P6*E6,0)+1</f>
        <v>14593</v>
      </c>
      <c r="N6" s="16">
        <f aca="true" t="shared" si="3" ref="N6:N14">ROUND(P6*G6,0)</f>
        <v>1215</v>
      </c>
      <c r="P6" s="16">
        <f t="shared" si="0"/>
        <v>33788</v>
      </c>
      <c r="Q6" s="6">
        <f t="shared" si="1"/>
        <v>0.0075769110968738175</v>
      </c>
      <c r="S6" s="30">
        <f aca="true" t="shared" si="4" ref="S6:S14">P6-SUM(L6:N6)</f>
        <v>0</v>
      </c>
    </row>
    <row r="7" spans="2:19" ht="12.75">
      <c r="B7" s="1">
        <v>1983</v>
      </c>
      <c r="C7" s="1">
        <v>1986</v>
      </c>
      <c r="E7" s="3">
        <v>0.3345475415268745</v>
      </c>
      <c r="G7" s="31">
        <v>0.06439862501352828</v>
      </c>
      <c r="I7" s="6">
        <f t="shared" si="2"/>
        <v>0.6010538334595972</v>
      </c>
      <c r="K7" s="14">
        <v>3663229</v>
      </c>
      <c r="L7" s="34">
        <v>42737</v>
      </c>
      <c r="M7" s="16">
        <f aca="true" t="shared" si="5" ref="M7:M15">ROUND(P7*E7,0)</f>
        <v>23787</v>
      </c>
      <c r="N7" s="16">
        <f t="shared" si="3"/>
        <v>4579</v>
      </c>
      <c r="P7" s="16">
        <f t="shared" si="0"/>
        <v>71103</v>
      </c>
      <c r="Q7" s="6">
        <f t="shared" si="1"/>
        <v>0.019409924959646257</v>
      </c>
      <c r="S7" s="30">
        <f t="shared" si="4"/>
        <v>0</v>
      </c>
    </row>
    <row r="8" spans="2:19" ht="12.75">
      <c r="B8" s="1">
        <v>1984</v>
      </c>
      <c r="C8" s="1">
        <v>1987</v>
      </c>
      <c r="E8" s="3">
        <v>0.5952508562046185</v>
      </c>
      <c r="G8" s="31">
        <v>0.032181889109112904</v>
      </c>
      <c r="I8" s="6">
        <f t="shared" si="2"/>
        <v>0.3725672546862686</v>
      </c>
      <c r="K8" s="14">
        <v>4663518</v>
      </c>
      <c r="L8" s="34">
        <v>9536</v>
      </c>
      <c r="M8" s="16">
        <f t="shared" si="5"/>
        <v>15235</v>
      </c>
      <c r="N8" s="16">
        <f t="shared" si="3"/>
        <v>824</v>
      </c>
      <c r="P8" s="16">
        <f t="shared" si="0"/>
        <v>25595</v>
      </c>
      <c r="Q8" s="6">
        <f t="shared" si="1"/>
        <v>0.005488345922541738</v>
      </c>
      <c r="S8" s="30">
        <f t="shared" si="4"/>
        <v>0</v>
      </c>
    </row>
    <row r="9" spans="2:19" ht="12.75">
      <c r="B9" s="1">
        <v>1985</v>
      </c>
      <c r="C9" s="1">
        <v>1988</v>
      </c>
      <c r="E9" s="3">
        <v>0.5637207240244673</v>
      </c>
      <c r="G9" s="31">
        <v>0.026681542497677208</v>
      </c>
      <c r="I9" s="6">
        <f t="shared" si="2"/>
        <v>0.40959773347785555</v>
      </c>
      <c r="K9" s="14">
        <v>4764682</v>
      </c>
      <c r="L9" s="34">
        <v>27034</v>
      </c>
      <c r="M9" s="16">
        <f t="shared" si="5"/>
        <v>37206</v>
      </c>
      <c r="N9" s="16">
        <f t="shared" si="3"/>
        <v>1761</v>
      </c>
      <c r="P9" s="16">
        <f t="shared" si="0"/>
        <v>66001</v>
      </c>
      <c r="Q9" s="6">
        <f t="shared" si="1"/>
        <v>0.013852131160064826</v>
      </c>
      <c r="S9" s="30">
        <f t="shared" si="4"/>
        <v>0</v>
      </c>
    </row>
    <row r="10" spans="2:19" ht="12.75">
      <c r="B10" s="1">
        <v>1986</v>
      </c>
      <c r="C10" s="1">
        <v>1989</v>
      </c>
      <c r="E10" s="3">
        <v>0.5532486691050307</v>
      </c>
      <c r="G10" s="31">
        <v>0.046263275378613515</v>
      </c>
      <c r="I10" s="6">
        <f t="shared" si="2"/>
        <v>0.4004880555163558</v>
      </c>
      <c r="K10" s="14">
        <v>5270006</v>
      </c>
      <c r="L10" s="34">
        <v>38098</v>
      </c>
      <c r="M10" s="16">
        <f t="shared" si="5"/>
        <v>52630</v>
      </c>
      <c r="N10" s="16">
        <f t="shared" si="3"/>
        <v>4401</v>
      </c>
      <c r="P10" s="16">
        <f t="shared" si="0"/>
        <v>95129</v>
      </c>
      <c r="Q10" s="6">
        <f t="shared" si="1"/>
        <v>0.018051023091814316</v>
      </c>
      <c r="S10" s="30">
        <f t="shared" si="4"/>
        <v>0</v>
      </c>
    </row>
    <row r="11" spans="2:19" ht="12.75">
      <c r="B11" s="1">
        <v>1987</v>
      </c>
      <c r="C11" s="1">
        <v>1990</v>
      </c>
      <c r="E11" s="3">
        <v>0.6894413417793069</v>
      </c>
      <c r="G11" s="31">
        <v>0.034359681335055396</v>
      </c>
      <c r="I11" s="6">
        <f>1-E11-G11</f>
        <v>0.27619897688563766</v>
      </c>
      <c r="K11" s="14">
        <v>5099531</v>
      </c>
      <c r="L11" s="14">
        <v>18246</v>
      </c>
      <c r="M11" s="16">
        <f t="shared" si="5"/>
        <v>45545</v>
      </c>
      <c r="N11" s="16">
        <f t="shared" si="3"/>
        <v>2270</v>
      </c>
      <c r="P11" s="16">
        <f t="shared" si="0"/>
        <v>66061</v>
      </c>
      <c r="Q11" s="6">
        <f t="shared" si="1"/>
        <v>0.012954328545115227</v>
      </c>
      <c r="S11" s="30">
        <f t="shared" si="4"/>
        <v>0</v>
      </c>
    </row>
    <row r="12" spans="2:19" ht="12.75">
      <c r="B12" s="1">
        <v>1988</v>
      </c>
      <c r="C12" s="1">
        <v>1991</v>
      </c>
      <c r="E12" s="3">
        <v>0.443998864330496</v>
      </c>
      <c r="G12" s="31">
        <v>0.11584364679673441</v>
      </c>
      <c r="I12" s="6">
        <f t="shared" si="2"/>
        <v>0.4401574888727696</v>
      </c>
      <c r="K12" s="14">
        <v>5160955</v>
      </c>
      <c r="L12" s="14">
        <v>45604</v>
      </c>
      <c r="M12" s="16">
        <f t="shared" si="5"/>
        <v>46002</v>
      </c>
      <c r="N12" s="16">
        <f t="shared" si="3"/>
        <v>12002</v>
      </c>
      <c r="P12" s="16">
        <f t="shared" si="0"/>
        <v>103608</v>
      </c>
      <c r="Q12" s="6">
        <f t="shared" si="1"/>
        <v>0.020075354270672773</v>
      </c>
      <c r="S12" s="30">
        <f t="shared" si="4"/>
        <v>0</v>
      </c>
    </row>
    <row r="13" spans="2:19" ht="12.75">
      <c r="B13" s="1">
        <v>1989</v>
      </c>
      <c r="C13" s="1">
        <v>1992</v>
      </c>
      <c r="E13" s="3">
        <v>0.5089088864163794</v>
      </c>
      <c r="G13" s="31">
        <v>0.04643680467427633</v>
      </c>
      <c r="I13" s="6">
        <f t="shared" si="2"/>
        <v>0.4446543089093442</v>
      </c>
      <c r="K13" s="14">
        <v>5139342</v>
      </c>
      <c r="L13" s="14">
        <v>26963</v>
      </c>
      <c r="M13" s="16">
        <f t="shared" si="5"/>
        <v>30859</v>
      </c>
      <c r="N13" s="16">
        <f t="shared" si="3"/>
        <v>2816</v>
      </c>
      <c r="P13" s="16">
        <f t="shared" si="0"/>
        <v>60638</v>
      </c>
      <c r="Q13" s="6">
        <f t="shared" si="1"/>
        <v>0.011798786692926838</v>
      </c>
      <c r="S13" s="30">
        <f t="shared" si="4"/>
        <v>0</v>
      </c>
    </row>
    <row r="14" spans="2:19" ht="12.75">
      <c r="B14" s="76">
        <v>1990</v>
      </c>
      <c r="C14" s="76">
        <v>1993</v>
      </c>
      <c r="E14" s="75">
        <v>0.4229278073454004</v>
      </c>
      <c r="G14" s="35">
        <v>0.026225951552472593</v>
      </c>
      <c r="I14" s="17">
        <f t="shared" si="2"/>
        <v>0.5508462411021271</v>
      </c>
      <c r="K14" s="74">
        <v>5446553</v>
      </c>
      <c r="L14" s="74">
        <v>23362</v>
      </c>
      <c r="M14" s="32">
        <f t="shared" si="5"/>
        <v>17937</v>
      </c>
      <c r="N14" s="32">
        <f t="shared" si="3"/>
        <v>1112</v>
      </c>
      <c r="O14" s="36"/>
      <c r="P14" s="32">
        <f t="shared" si="0"/>
        <v>42411</v>
      </c>
      <c r="Q14" s="17">
        <f t="shared" si="1"/>
        <v>0.007786759809369339</v>
      </c>
      <c r="S14" s="73">
        <f t="shared" si="4"/>
        <v>0</v>
      </c>
    </row>
    <row r="15" spans="2:20" ht="12.75">
      <c r="B15" s="1">
        <v>1991</v>
      </c>
      <c r="C15" s="1">
        <v>1994</v>
      </c>
      <c r="E15" s="3">
        <v>0.022916195477780555</v>
      </c>
      <c r="G15" s="31">
        <f aca="true" t="shared" si="6" ref="G15:G24">O15/P15</f>
        <v>0.03182318415260455</v>
      </c>
      <c r="I15" s="6">
        <f aca="true" t="shared" si="7" ref="I15:I24">1-E15-G15</f>
        <v>0.9452606203696149</v>
      </c>
      <c r="K15" s="14">
        <v>4571926</v>
      </c>
      <c r="L15" s="14">
        <v>20614</v>
      </c>
      <c r="M15" s="16">
        <f t="shared" si="5"/>
        <v>500</v>
      </c>
      <c r="O15" s="16">
        <v>694</v>
      </c>
      <c r="P15" s="16">
        <f aca="true" t="shared" si="8" ref="P15:P24">ROUND((L15+O15)/(1-E15),0)</f>
        <v>21808</v>
      </c>
      <c r="Q15" s="6">
        <f t="shared" si="1"/>
        <v>0.004769980966446089</v>
      </c>
      <c r="S15" s="30">
        <f>P15-SUM(L15:O15)</f>
        <v>0</v>
      </c>
      <c r="T15" s="77">
        <f>O15/L15</f>
        <v>0.03366644028330261</v>
      </c>
    </row>
    <row r="16" spans="2:20" ht="12.75">
      <c r="B16" s="1">
        <v>1992</v>
      </c>
      <c r="C16" s="1">
        <v>1995</v>
      </c>
      <c r="E16" s="3">
        <v>0.22558857514369887</v>
      </c>
      <c r="G16" s="31">
        <f t="shared" si="6"/>
        <v>0.03853977882161482</v>
      </c>
      <c r="I16" s="6">
        <f t="shared" si="7"/>
        <v>0.7358716460346862</v>
      </c>
      <c r="K16" s="14">
        <v>4960738</v>
      </c>
      <c r="L16" s="14">
        <v>19896</v>
      </c>
      <c r="M16" s="16">
        <f aca="true" t="shared" si="9" ref="M16:M24">ROUND(P16*E16,0)</f>
        <v>6099</v>
      </c>
      <c r="O16" s="16">
        <v>1042</v>
      </c>
      <c r="P16" s="16">
        <f t="shared" si="8"/>
        <v>27037</v>
      </c>
      <c r="Q16" s="6">
        <f t="shared" si="1"/>
        <v>0.005450197127927337</v>
      </c>
      <c r="S16" s="30">
        <f aca="true" t="shared" si="10" ref="S16:S24">P16-SUM(L16:O16)</f>
        <v>0</v>
      </c>
      <c r="T16" s="77">
        <f aca="true" t="shared" si="11" ref="T16:T22">O16/L16</f>
        <v>0.05237233614796944</v>
      </c>
    </row>
    <row r="17" spans="2:20" ht="12.75">
      <c r="B17" s="1">
        <v>1993</v>
      </c>
      <c r="C17" s="1">
        <v>1996</v>
      </c>
      <c r="E17" s="3">
        <v>0.14619551336626793</v>
      </c>
      <c r="G17" s="31">
        <f t="shared" si="6"/>
        <v>0.09329210443093573</v>
      </c>
      <c r="I17" s="6">
        <f t="shared" si="7"/>
        <v>0.7605123822027964</v>
      </c>
      <c r="K17" s="14">
        <v>3581868</v>
      </c>
      <c r="L17" s="14">
        <v>21643</v>
      </c>
      <c r="M17" s="16">
        <f t="shared" si="9"/>
        <v>4161</v>
      </c>
      <c r="O17" s="16">
        <v>2655</v>
      </c>
      <c r="P17" s="16">
        <f t="shared" si="8"/>
        <v>28459</v>
      </c>
      <c r="Q17" s="6">
        <f t="shared" si="1"/>
        <v>0.007945295583198488</v>
      </c>
      <c r="S17" s="30">
        <f t="shared" si="10"/>
        <v>0</v>
      </c>
      <c r="T17" s="77">
        <f t="shared" si="11"/>
        <v>0.12267245760754054</v>
      </c>
    </row>
    <row r="18" spans="2:20" ht="12.75">
      <c r="B18" s="1">
        <v>1994</v>
      </c>
      <c r="C18" s="1">
        <v>1997</v>
      </c>
      <c r="E18" s="3">
        <v>0.12451016023872558</v>
      </c>
      <c r="G18" s="31">
        <f t="shared" si="6"/>
        <v>0.153446284174047</v>
      </c>
      <c r="I18" s="6">
        <f t="shared" si="7"/>
        <v>0.7220435555872275</v>
      </c>
      <c r="K18" s="14">
        <v>3156708</v>
      </c>
      <c r="L18" s="14">
        <v>11251</v>
      </c>
      <c r="M18" s="16">
        <f t="shared" si="9"/>
        <v>1940</v>
      </c>
      <c r="O18" s="16">
        <v>2391</v>
      </c>
      <c r="P18" s="16">
        <f t="shared" si="8"/>
        <v>15582</v>
      </c>
      <c r="Q18" s="6">
        <f t="shared" si="1"/>
        <v>0.00493615500705165</v>
      </c>
      <c r="S18" s="30">
        <f t="shared" si="10"/>
        <v>0</v>
      </c>
      <c r="T18" s="77">
        <f t="shared" si="11"/>
        <v>0.21251444316060794</v>
      </c>
    </row>
    <row r="19" spans="2:20" ht="12.75">
      <c r="B19" s="1">
        <v>1995</v>
      </c>
      <c r="C19" s="1">
        <v>1998</v>
      </c>
      <c r="E19" s="3">
        <v>0.06641749632660672</v>
      </c>
      <c r="G19" s="31">
        <f t="shared" si="6"/>
        <v>0.18361914735785662</v>
      </c>
      <c r="I19" s="6">
        <f t="shared" si="7"/>
        <v>0.7499633563155366</v>
      </c>
      <c r="K19" s="14">
        <v>2807624</v>
      </c>
      <c r="L19" s="14">
        <v>17187</v>
      </c>
      <c r="M19" s="16">
        <f t="shared" si="9"/>
        <v>1522</v>
      </c>
      <c r="O19" s="16">
        <v>4208</v>
      </c>
      <c r="P19" s="16">
        <f t="shared" si="8"/>
        <v>22917</v>
      </c>
      <c r="Q19" s="6">
        <f t="shared" si="1"/>
        <v>0.008162417759643029</v>
      </c>
      <c r="S19" s="30">
        <f t="shared" si="10"/>
        <v>0</v>
      </c>
      <c r="T19" s="77">
        <f t="shared" si="11"/>
        <v>0.2448362134171176</v>
      </c>
    </row>
    <row r="20" spans="2:20" ht="12.75">
      <c r="B20" s="1">
        <v>1996</v>
      </c>
      <c r="C20" s="1">
        <v>1999</v>
      </c>
      <c r="E20" s="3">
        <v>0.11898399084206503</v>
      </c>
      <c r="G20" s="31">
        <f t="shared" si="6"/>
        <v>0.09671143466800552</v>
      </c>
      <c r="I20" s="6">
        <f t="shared" si="7"/>
        <v>0.7843045744899295</v>
      </c>
      <c r="K20" s="14">
        <v>1450976</v>
      </c>
      <c r="L20" s="14">
        <v>12497</v>
      </c>
      <c r="M20" s="16">
        <f t="shared" si="9"/>
        <v>1896</v>
      </c>
      <c r="O20" s="16">
        <v>1541</v>
      </c>
      <c r="P20" s="16">
        <f t="shared" si="8"/>
        <v>15934</v>
      </c>
      <c r="Q20" s="6">
        <f t="shared" si="1"/>
        <v>0.010981573782061178</v>
      </c>
      <c r="S20" s="30">
        <f t="shared" si="10"/>
        <v>0</v>
      </c>
      <c r="T20" s="77">
        <f t="shared" si="11"/>
        <v>0.12330959430263264</v>
      </c>
    </row>
    <row r="21" spans="2:20" ht="12.75">
      <c r="B21" s="1">
        <v>1997</v>
      </c>
      <c r="C21" s="1">
        <v>2000</v>
      </c>
      <c r="E21" s="3">
        <v>0.13090527635251334</v>
      </c>
      <c r="G21" s="31">
        <f t="shared" si="6"/>
        <v>0.11100023758612497</v>
      </c>
      <c r="I21" s="6">
        <f t="shared" si="7"/>
        <v>0.7580944860613616</v>
      </c>
      <c r="K21" s="14">
        <v>956920</v>
      </c>
      <c r="L21" s="14">
        <v>15954</v>
      </c>
      <c r="M21" s="16">
        <f t="shared" si="9"/>
        <v>2755</v>
      </c>
      <c r="O21" s="16">
        <v>2336</v>
      </c>
      <c r="P21" s="16">
        <f t="shared" si="8"/>
        <v>21045</v>
      </c>
      <c r="Q21" s="6">
        <f t="shared" si="1"/>
        <v>0.0219924340592735</v>
      </c>
      <c r="S21" s="30">
        <f t="shared" si="10"/>
        <v>0</v>
      </c>
      <c r="T21" s="77">
        <f t="shared" si="11"/>
        <v>0.14642096026074966</v>
      </c>
    </row>
    <row r="22" spans="2:23" ht="12.75">
      <c r="B22" s="1">
        <v>1998</v>
      </c>
      <c r="C22" s="1">
        <v>2001</v>
      </c>
      <c r="E22" s="3">
        <v>0.15744601823659704</v>
      </c>
      <c r="G22" s="31">
        <f t="shared" si="6"/>
        <v>0.09128845296477932</v>
      </c>
      <c r="I22" s="6">
        <f t="shared" si="7"/>
        <v>0.7512655287986236</v>
      </c>
      <c r="K22" s="14">
        <v>818065</v>
      </c>
      <c r="L22" s="14">
        <v>42127</v>
      </c>
      <c r="M22" s="16">
        <f>ROUND(P22*E22,0)</f>
        <v>8829</v>
      </c>
      <c r="O22" s="16">
        <f>5119+15188-15188</f>
        <v>5119</v>
      </c>
      <c r="P22" s="16">
        <f t="shared" si="8"/>
        <v>56075</v>
      </c>
      <c r="Q22" s="6">
        <f t="shared" si="1"/>
        <v>0.06854589794209506</v>
      </c>
      <c r="S22" s="30">
        <f>P22-SUM(L22:O22)</f>
        <v>0</v>
      </c>
      <c r="T22" s="77">
        <f t="shared" si="11"/>
        <v>0.121513518645999</v>
      </c>
      <c r="V22">
        <v>0.27102741371486533</v>
      </c>
      <c r="W22">
        <v>0.0902869640368979</v>
      </c>
    </row>
    <row r="23" spans="2:20" ht="12.75">
      <c r="B23" s="1">
        <v>1999</v>
      </c>
      <c r="C23" s="1">
        <v>2002</v>
      </c>
      <c r="E23" s="3">
        <v>0.13816724010459597</v>
      </c>
      <c r="G23" s="31">
        <f t="shared" si="6"/>
        <v>0.10061551752065223</v>
      </c>
      <c r="I23" s="6">
        <f t="shared" si="7"/>
        <v>0.7612172423747519</v>
      </c>
      <c r="K23" s="14">
        <v>935569</v>
      </c>
      <c r="L23" s="14">
        <v>28197</v>
      </c>
      <c r="M23" s="16">
        <f>ROUND(P23*E23,0)</f>
        <v>5118</v>
      </c>
      <c r="O23" s="37">
        <f>ROUND(L23*$T$26,0)</f>
        <v>3727</v>
      </c>
      <c r="P23" s="16">
        <f t="shared" si="8"/>
        <v>37042</v>
      </c>
      <c r="Q23" s="6">
        <f t="shared" si="1"/>
        <v>0.039593017725042194</v>
      </c>
      <c r="S23" s="30">
        <f>P23-SUM(L23:O23)</f>
        <v>0</v>
      </c>
      <c r="T23" s="77"/>
    </row>
    <row r="24" spans="2:20" ht="12.75">
      <c r="B24" s="1">
        <v>2000</v>
      </c>
      <c r="C24" s="1">
        <v>2003</v>
      </c>
      <c r="E24" s="4">
        <v>0.22</v>
      </c>
      <c r="F24" s="1" t="s">
        <v>3</v>
      </c>
      <c r="G24" s="31">
        <f t="shared" si="6"/>
        <v>0.09106244632560422</v>
      </c>
      <c r="I24" s="6">
        <f t="shared" si="7"/>
        <v>0.6889375536743958</v>
      </c>
      <c r="K24" s="15">
        <v>948274</v>
      </c>
      <c r="L24" s="14">
        <v>22462</v>
      </c>
      <c r="M24" s="16">
        <f t="shared" si="9"/>
        <v>7173</v>
      </c>
      <c r="O24" s="37">
        <f>ROUND(L24*$T$26,0)</f>
        <v>2969</v>
      </c>
      <c r="P24" s="16">
        <f t="shared" si="8"/>
        <v>32604</v>
      </c>
      <c r="Q24" s="6">
        <f t="shared" si="1"/>
        <v>0.034382467514663485</v>
      </c>
      <c r="S24" s="30">
        <f t="shared" si="10"/>
        <v>0</v>
      </c>
      <c r="T24" s="77"/>
    </row>
    <row r="25" spans="1:20" ht="12.75">
      <c r="A25" s="18"/>
      <c r="B25" s="2"/>
      <c r="C25" s="2"/>
      <c r="D25" s="2"/>
      <c r="E25" s="2"/>
      <c r="F25" s="2"/>
      <c r="G25" s="19"/>
      <c r="H25" s="2"/>
      <c r="I25" s="19"/>
      <c r="J25" s="2"/>
      <c r="K25" s="20"/>
      <c r="L25" s="21"/>
      <c r="O25" s="36"/>
      <c r="T25" s="78"/>
    </row>
    <row r="26" spans="1:20" ht="12.75">
      <c r="A26" s="22" t="s">
        <v>4</v>
      </c>
      <c r="B26" s="23"/>
      <c r="C26" s="23"/>
      <c r="D26" s="23"/>
      <c r="E26" s="23"/>
      <c r="F26" s="23"/>
      <c r="G26" s="24"/>
      <c r="H26" s="23"/>
      <c r="I26" s="24"/>
      <c r="J26" s="23"/>
      <c r="K26" s="25"/>
      <c r="L26" s="25"/>
      <c r="M26" s="33"/>
      <c r="N26" s="33"/>
      <c r="P26" s="33"/>
      <c r="Q26" s="26"/>
      <c r="T26" s="77">
        <f>AVERAGE(T15:T22)</f>
        <v>0.13216324547823993</v>
      </c>
    </row>
  </sheetData>
  <printOptions/>
  <pageMargins left="0.75" right="0.75" top="1" bottom="1" header="0.5" footer="0.5"/>
  <pageSetup fitToHeight="1" fitToWidth="1" horizontalDpi="300" verticalDpi="300" orientation="landscape" scale="88" r:id="rId3"/>
  <legacyDrawing r:id="rId2"/>
</worksheet>
</file>

<file path=xl/worksheets/sheet4.xml><?xml version="1.0" encoding="utf-8"?>
<worksheet xmlns="http://schemas.openxmlformats.org/spreadsheetml/2006/main" xmlns:r="http://schemas.openxmlformats.org/officeDocument/2006/relationships">
  <dimension ref="A1:BG24"/>
  <sheetViews>
    <sheetView workbookViewId="0" topLeftCell="A1">
      <pane xSplit="2" ySplit="4" topLeftCell="AY5" activePane="bottomRight" state="frozen"/>
      <selection pane="topLeft" activeCell="A1" sqref="A1"/>
      <selection pane="topRight" activeCell="C1" sqref="C1"/>
      <selection pane="bottomLeft" activeCell="A5" sqref="A5"/>
      <selection pane="bottomRight" activeCell="BA5" sqref="BA5"/>
    </sheetView>
  </sheetViews>
  <sheetFormatPr defaultColWidth="9.140625" defaultRowHeight="12.75" outlineLevelCol="1"/>
  <cols>
    <col min="1" max="2" width="9.140625" style="53" customWidth="1"/>
    <col min="3" max="3" width="2.7109375" style="47" hidden="1" customWidth="1" outlineLevel="1"/>
    <col min="4" max="5" width="8.7109375" style="48" hidden="1" customWidth="1" outlineLevel="1"/>
    <col min="6" max="6" width="8.7109375" style="53" hidden="1" customWidth="1" outlineLevel="1"/>
    <col min="7" max="7" width="8.7109375" style="58" hidden="1" customWidth="1" outlineLevel="1"/>
    <col min="8" max="8" width="2.7109375" style="47" hidden="1" customWidth="1" outlineLevel="1"/>
    <col min="9" max="10" width="8.7109375" style="48" hidden="1" customWidth="1" outlineLevel="1"/>
    <col min="11" max="11" width="8.7109375" style="53" hidden="1" customWidth="1" outlineLevel="1"/>
    <col min="12" max="12" width="8.7109375" style="58" hidden="1" customWidth="1" outlineLevel="1"/>
    <col min="13" max="13" width="2.7109375" style="47" hidden="1" customWidth="1" outlineLevel="1"/>
    <col min="14" max="15" width="8.7109375" style="48" hidden="1" customWidth="1" outlineLevel="1"/>
    <col min="16" max="16" width="8.7109375" style="53" hidden="1" customWidth="1" outlineLevel="1"/>
    <col min="17" max="17" width="8.7109375" style="58" hidden="1" customWidth="1" outlineLevel="1"/>
    <col min="18" max="18" width="2.7109375" style="47" hidden="1" customWidth="1" outlineLevel="1"/>
    <col min="19" max="20" width="8.7109375" style="48" hidden="1" customWidth="1" outlineLevel="1"/>
    <col min="21" max="21" width="8.7109375" style="53" hidden="1" customWidth="1" outlineLevel="1"/>
    <col min="22" max="22" width="8.7109375" style="58" hidden="1" customWidth="1" outlineLevel="1"/>
    <col min="23" max="23" width="2.7109375" style="47" hidden="1" customWidth="1" outlineLevel="1"/>
    <col min="24" max="25" width="8.7109375" style="48" hidden="1" customWidth="1" outlineLevel="1"/>
    <col min="26" max="26" width="8.7109375" style="53" hidden="1" customWidth="1" outlineLevel="1"/>
    <col min="27" max="27" width="8.7109375" style="58" hidden="1" customWidth="1" outlineLevel="1"/>
    <col min="28" max="28" width="2.7109375" style="47" hidden="1" customWidth="1" outlineLevel="1"/>
    <col min="29" max="30" width="8.7109375" style="48" hidden="1" customWidth="1" outlineLevel="1"/>
    <col min="31" max="31" width="8.7109375" style="53" hidden="1" customWidth="1" outlineLevel="1"/>
    <col min="32" max="32" width="8.7109375" style="58" hidden="1" customWidth="1" outlineLevel="1"/>
    <col min="33" max="33" width="2.7109375" style="47" hidden="1" customWidth="1" outlineLevel="1"/>
    <col min="34" max="35" width="8.7109375" style="48" hidden="1" customWidth="1" outlineLevel="1"/>
    <col min="36" max="36" width="8.7109375" style="64" hidden="1" customWidth="1" outlineLevel="1"/>
    <col min="37" max="37" width="8.7109375" style="62" hidden="1" customWidth="1" outlineLevel="1"/>
    <col min="38" max="38" width="2.7109375" style="47" hidden="1" customWidth="1" outlineLevel="1"/>
    <col min="39" max="40" width="8.7109375" style="48" hidden="1" customWidth="1" outlineLevel="1"/>
    <col min="41" max="41" width="8.7109375" style="53" hidden="1" customWidth="1" outlineLevel="1"/>
    <col min="42" max="42" width="8.7109375" style="58" hidden="1" customWidth="1" outlineLevel="1"/>
    <col min="43" max="43" width="2.7109375" style="47" hidden="1" customWidth="1" outlineLevel="1"/>
    <col min="44" max="45" width="8.7109375" style="48" hidden="1" customWidth="1" outlineLevel="1"/>
    <col min="46" max="46" width="8.7109375" style="53" hidden="1" customWidth="1" outlineLevel="1"/>
    <col min="47" max="47" width="8.7109375" style="58" hidden="1" customWidth="1" outlineLevel="1"/>
    <col min="48" max="48" width="2.7109375" style="47" hidden="1" customWidth="1" outlineLevel="1"/>
    <col min="49" max="50" width="8.7109375" style="48" hidden="1" customWidth="1" outlineLevel="1"/>
    <col min="51" max="51" width="8.7109375" style="53" hidden="1" customWidth="1" outlineLevel="1"/>
    <col min="52" max="52" width="8.7109375" style="58" hidden="1" customWidth="1" outlineLevel="1"/>
    <col min="53" max="53" width="2.7109375" style="47" customWidth="1" collapsed="1"/>
    <col min="54" max="56" width="8.7109375" style="48" customWidth="1"/>
    <col min="57" max="57" width="8.7109375" style="64" customWidth="1"/>
    <col min="58" max="58" width="8.7109375" style="58" customWidth="1"/>
    <col min="59" max="16384" width="9.140625" style="47" customWidth="1"/>
  </cols>
  <sheetData>
    <row r="1" spans="1:58" ht="15.75">
      <c r="A1" s="45" t="s">
        <v>58</v>
      </c>
      <c r="B1" s="46"/>
      <c r="BB1" s="84"/>
      <c r="BC1" s="81"/>
      <c r="BD1" s="81"/>
      <c r="BE1" s="79"/>
      <c r="BF1" s="80"/>
    </row>
    <row r="2" spans="1:59" s="50" customFormat="1" ht="12">
      <c r="A2" s="49"/>
      <c r="B2" s="49"/>
      <c r="E2" s="51" t="s">
        <v>52</v>
      </c>
      <c r="F2" s="51"/>
      <c r="G2" s="67"/>
      <c r="H2" s="59"/>
      <c r="J2" s="51" t="s">
        <v>56</v>
      </c>
      <c r="K2" s="52"/>
      <c r="L2" s="70"/>
      <c r="M2" s="63"/>
      <c r="O2" s="51" t="s">
        <v>53</v>
      </c>
      <c r="P2" s="52"/>
      <c r="Q2" s="70"/>
      <c r="R2" s="63"/>
      <c r="T2" s="51" t="s">
        <v>54</v>
      </c>
      <c r="U2" s="52"/>
      <c r="V2" s="70"/>
      <c r="W2" s="63"/>
      <c r="Y2" s="51" t="s">
        <v>55</v>
      </c>
      <c r="Z2" s="52"/>
      <c r="AA2" s="70"/>
      <c r="AB2" s="63"/>
      <c r="AD2" s="51" t="s">
        <v>57</v>
      </c>
      <c r="AE2" s="52"/>
      <c r="AF2" s="70"/>
      <c r="AG2" s="63"/>
      <c r="AI2" s="51" t="s">
        <v>49</v>
      </c>
      <c r="AJ2" s="51"/>
      <c r="AK2" s="67"/>
      <c r="AL2" s="59"/>
      <c r="AN2" s="51" t="s">
        <v>64</v>
      </c>
      <c r="AO2" s="51"/>
      <c r="AP2" s="67"/>
      <c r="AQ2" s="59"/>
      <c r="AS2" s="51" t="s">
        <v>50</v>
      </c>
      <c r="AT2" s="51"/>
      <c r="AU2" s="67"/>
      <c r="AV2" s="59"/>
      <c r="AX2" s="51" t="s">
        <v>51</v>
      </c>
      <c r="AY2" s="51"/>
      <c r="AZ2" s="67"/>
      <c r="BA2" s="99"/>
      <c r="BB2" s="85"/>
      <c r="BC2" s="51"/>
      <c r="BD2" s="51" t="s">
        <v>65</v>
      </c>
      <c r="BE2" s="51"/>
      <c r="BF2" s="80"/>
      <c r="BG2" s="63"/>
    </row>
    <row r="3" spans="1:58" ht="12">
      <c r="A3" s="53" t="s">
        <v>16</v>
      </c>
      <c r="B3" s="53" t="s">
        <v>8</v>
      </c>
      <c r="D3" s="54"/>
      <c r="E3" s="54" t="s">
        <v>61</v>
      </c>
      <c r="F3" s="68" t="s">
        <v>59</v>
      </c>
      <c r="G3" s="60"/>
      <c r="I3" s="54"/>
      <c r="J3" s="54" t="s">
        <v>61</v>
      </c>
      <c r="K3" s="68" t="s">
        <v>59</v>
      </c>
      <c r="L3" s="60"/>
      <c r="N3" s="54"/>
      <c r="O3" s="54" t="s">
        <v>61</v>
      </c>
      <c r="P3" s="68" t="s">
        <v>59</v>
      </c>
      <c r="Q3" s="60"/>
      <c r="S3" s="54"/>
      <c r="T3" s="54" t="s">
        <v>61</v>
      </c>
      <c r="U3" s="68" t="s">
        <v>59</v>
      </c>
      <c r="V3" s="60"/>
      <c r="X3" s="54"/>
      <c r="Y3" s="54" t="s">
        <v>61</v>
      </c>
      <c r="Z3" s="68" t="s">
        <v>59</v>
      </c>
      <c r="AA3" s="60"/>
      <c r="AC3" s="54"/>
      <c r="AD3" s="54" t="s">
        <v>61</v>
      </c>
      <c r="AE3" s="68" t="s">
        <v>59</v>
      </c>
      <c r="AF3" s="60"/>
      <c r="AH3" s="54"/>
      <c r="AI3" s="54" t="s">
        <v>61</v>
      </c>
      <c r="AJ3" s="68" t="s">
        <v>59</v>
      </c>
      <c r="AK3" s="60"/>
      <c r="AM3" s="54"/>
      <c r="AN3" s="54" t="s">
        <v>61</v>
      </c>
      <c r="AO3" s="68" t="s">
        <v>59</v>
      </c>
      <c r="AP3" s="60"/>
      <c r="AR3" s="54"/>
      <c r="AS3" s="54" t="s">
        <v>61</v>
      </c>
      <c r="AT3" s="68" t="s">
        <v>59</v>
      </c>
      <c r="AU3" s="60"/>
      <c r="AW3" s="54"/>
      <c r="AX3" s="54" t="s">
        <v>61</v>
      </c>
      <c r="AY3" s="68" t="s">
        <v>59</v>
      </c>
      <c r="AZ3" s="60"/>
      <c r="BA3" s="100"/>
      <c r="BB3" s="90" t="s">
        <v>66</v>
      </c>
      <c r="BC3" s="91"/>
      <c r="BD3" s="91" t="s">
        <v>61</v>
      </c>
      <c r="BE3" s="65" t="s">
        <v>68</v>
      </c>
      <c r="BF3" s="92"/>
    </row>
    <row r="4" spans="1:58" ht="12.75" thickBot="1">
      <c r="A4" s="55" t="s">
        <v>17</v>
      </c>
      <c r="B4" s="55" t="s">
        <v>1</v>
      </c>
      <c r="D4" s="56" t="s">
        <v>63</v>
      </c>
      <c r="E4" s="56" t="s">
        <v>62</v>
      </c>
      <c r="F4" s="69" t="s">
        <v>60</v>
      </c>
      <c r="G4" s="61" t="s">
        <v>48</v>
      </c>
      <c r="I4" s="56" t="s">
        <v>63</v>
      </c>
      <c r="J4" s="56" t="s">
        <v>62</v>
      </c>
      <c r="K4" s="69" t="s">
        <v>60</v>
      </c>
      <c r="L4" s="61" t="s">
        <v>48</v>
      </c>
      <c r="N4" s="56" t="s">
        <v>63</v>
      </c>
      <c r="O4" s="56" t="s">
        <v>62</v>
      </c>
      <c r="P4" s="69" t="s">
        <v>60</v>
      </c>
      <c r="Q4" s="61" t="s">
        <v>48</v>
      </c>
      <c r="S4" s="56" t="s">
        <v>63</v>
      </c>
      <c r="T4" s="56" t="s">
        <v>62</v>
      </c>
      <c r="U4" s="69" t="s">
        <v>60</v>
      </c>
      <c r="V4" s="61" t="s">
        <v>48</v>
      </c>
      <c r="X4" s="56" t="s">
        <v>63</v>
      </c>
      <c r="Y4" s="56" t="s">
        <v>62</v>
      </c>
      <c r="Z4" s="69" t="s">
        <v>60</v>
      </c>
      <c r="AA4" s="61" t="s">
        <v>48</v>
      </c>
      <c r="AC4" s="56" t="s">
        <v>63</v>
      </c>
      <c r="AD4" s="56" t="s">
        <v>62</v>
      </c>
      <c r="AE4" s="69" t="s">
        <v>60</v>
      </c>
      <c r="AF4" s="61" t="s">
        <v>48</v>
      </c>
      <c r="AH4" s="56" t="s">
        <v>63</v>
      </c>
      <c r="AI4" s="56" t="s">
        <v>62</v>
      </c>
      <c r="AJ4" s="69" t="s">
        <v>60</v>
      </c>
      <c r="AK4" s="61" t="s">
        <v>48</v>
      </c>
      <c r="AM4" s="56" t="s">
        <v>63</v>
      </c>
      <c r="AN4" s="56" t="s">
        <v>62</v>
      </c>
      <c r="AO4" s="69" t="s">
        <v>60</v>
      </c>
      <c r="AP4" s="61" t="s">
        <v>48</v>
      </c>
      <c r="AR4" s="56" t="s">
        <v>63</v>
      </c>
      <c r="AS4" s="56" t="s">
        <v>62</v>
      </c>
      <c r="AT4" s="69" t="s">
        <v>60</v>
      </c>
      <c r="AU4" s="61" t="s">
        <v>48</v>
      </c>
      <c r="AW4" s="56" t="s">
        <v>63</v>
      </c>
      <c r="AX4" s="56" t="s">
        <v>62</v>
      </c>
      <c r="AY4" s="69" t="s">
        <v>60</v>
      </c>
      <c r="AZ4" s="61" t="s">
        <v>48</v>
      </c>
      <c r="BA4" s="101"/>
      <c r="BB4" s="93" t="s">
        <v>67</v>
      </c>
      <c r="BC4" s="94" t="s">
        <v>63</v>
      </c>
      <c r="BD4" s="94" t="s">
        <v>62</v>
      </c>
      <c r="BE4" s="66" t="s">
        <v>60</v>
      </c>
      <c r="BF4" s="95" t="s">
        <v>48</v>
      </c>
    </row>
    <row r="5" spans="1:58" ht="12">
      <c r="A5" s="57">
        <v>1981</v>
      </c>
      <c r="B5" s="57">
        <v>1984</v>
      </c>
      <c r="D5" s="48">
        <v>75842</v>
      </c>
      <c r="E5" s="48">
        <v>85443</v>
      </c>
      <c r="F5" s="64">
        <v>2.13</v>
      </c>
      <c r="G5" s="62">
        <f aca="true" t="shared" si="0" ref="G5:G24">E5*F5</f>
        <v>181993.59</v>
      </c>
      <c r="I5" s="48">
        <v>107176</v>
      </c>
      <c r="J5" s="48">
        <v>721295</v>
      </c>
      <c r="K5" s="64">
        <v>2.17</v>
      </c>
      <c r="L5" s="62">
        <f aca="true" t="shared" si="1" ref="L5:L24">J5*K5</f>
        <v>1565210.15</v>
      </c>
      <c r="S5" s="48">
        <v>50262</v>
      </c>
      <c r="T5" s="48">
        <v>253446</v>
      </c>
      <c r="U5" s="64">
        <v>1.27</v>
      </c>
      <c r="V5" s="62">
        <f aca="true" t="shared" si="2" ref="V5:V24">T5*U5</f>
        <v>321876.42</v>
      </c>
      <c r="X5" s="48">
        <v>76521</v>
      </c>
      <c r="Y5" s="48">
        <v>227040</v>
      </c>
      <c r="Z5" s="64">
        <v>1.56</v>
      </c>
      <c r="AA5" s="62">
        <f aca="true" t="shared" si="3" ref="AA5:AA17">Y5*Z5</f>
        <v>354182.4</v>
      </c>
      <c r="AH5" s="48">
        <v>81959</v>
      </c>
      <c r="AI5" s="48">
        <v>494986</v>
      </c>
      <c r="AJ5" s="64">
        <v>1.07</v>
      </c>
      <c r="AK5" s="62">
        <f aca="true" t="shared" si="4" ref="AK5:AK20">AI5*AJ5</f>
        <v>529635.02</v>
      </c>
      <c r="AM5" s="48">
        <v>52572</v>
      </c>
      <c r="AN5" s="48">
        <v>123625</v>
      </c>
      <c r="AO5" s="64">
        <v>2.95</v>
      </c>
      <c r="AP5" s="62">
        <f aca="true" t="shared" si="5" ref="AP5:AP24">AN5*AO5</f>
        <v>364693.75</v>
      </c>
      <c r="AW5" s="48">
        <v>23727</v>
      </c>
      <c r="AX5" s="48">
        <v>51996</v>
      </c>
      <c r="AY5" s="64">
        <v>3.3</v>
      </c>
      <c r="AZ5" s="62">
        <f aca="true" t="shared" si="6" ref="AZ5:AZ16">AX5*AY5</f>
        <v>171586.8</v>
      </c>
      <c r="BB5" s="102">
        <f aca="true" t="shared" si="7" ref="BB5:BB24">COUNT(D5,I5,N5,S5,X5,AC5,AH5,AM5,AR5,AW5)</f>
        <v>7</v>
      </c>
      <c r="BC5" s="81">
        <f aca="true" t="shared" si="8" ref="BC5:BC24">SUM(D5,I5,N5,S5,X5,AC5,AH5,AM5,AR5,AW5)</f>
        <v>468059</v>
      </c>
      <c r="BD5" s="81">
        <f aca="true" t="shared" si="9" ref="BD5:BD24">SUM(E5,J5,O5,T5,Y5,AD5,AI5,AN5,AS5,AX5)</f>
        <v>1957831</v>
      </c>
      <c r="BE5" s="82">
        <f aca="true" t="shared" si="10" ref="BE5:BE21">(BF5/BD5)/100</f>
        <v>0.01782165125590513</v>
      </c>
      <c r="BF5" s="83">
        <f aca="true" t="shared" si="11" ref="BF5:BF24">SUM(G5,L5,Q5,V5,AA5,AF5,AK5,AP5,AU5,AZ5)</f>
        <v>3489178.13</v>
      </c>
    </row>
    <row r="6" spans="1:58" ht="12">
      <c r="A6" s="57">
        <v>1982</v>
      </c>
      <c r="B6" s="57">
        <v>1985</v>
      </c>
      <c r="D6" s="48">
        <v>99406</v>
      </c>
      <c r="E6" s="48">
        <v>721955</v>
      </c>
      <c r="F6" s="64">
        <v>1.41</v>
      </c>
      <c r="G6" s="62">
        <f t="shared" si="0"/>
        <v>1017956.5499999999</v>
      </c>
      <c r="I6" s="48">
        <v>102102</v>
      </c>
      <c r="J6" s="48">
        <v>1111875</v>
      </c>
      <c r="K6" s="64">
        <v>1.06</v>
      </c>
      <c r="L6" s="62">
        <f t="shared" si="1"/>
        <v>1178587.5</v>
      </c>
      <c r="S6" s="48">
        <v>26762</v>
      </c>
      <c r="T6" s="48">
        <v>270302</v>
      </c>
      <c r="U6" s="64">
        <v>0.33</v>
      </c>
      <c r="V6" s="62">
        <f t="shared" si="2"/>
        <v>89199.66</v>
      </c>
      <c r="X6" s="48">
        <v>103189</v>
      </c>
      <c r="Y6" s="48">
        <v>247741</v>
      </c>
      <c r="Z6" s="64">
        <v>0.45</v>
      </c>
      <c r="AA6" s="62">
        <f t="shared" si="3"/>
        <v>111483.45</v>
      </c>
      <c r="AH6" s="48">
        <v>76611</v>
      </c>
      <c r="AI6" s="48">
        <v>518121</v>
      </c>
      <c r="AJ6" s="64">
        <v>0.4</v>
      </c>
      <c r="AK6" s="62">
        <f t="shared" si="4"/>
        <v>207248.40000000002</v>
      </c>
      <c r="AM6" s="48">
        <v>26561</v>
      </c>
      <c r="AN6" s="48">
        <v>139896</v>
      </c>
      <c r="AO6" s="64">
        <v>1.81</v>
      </c>
      <c r="AP6" s="62">
        <f t="shared" si="5"/>
        <v>253211.76</v>
      </c>
      <c r="AW6" s="48">
        <v>24614</v>
      </c>
      <c r="AX6" s="48">
        <v>44033</v>
      </c>
      <c r="AY6" s="64">
        <v>1.13</v>
      </c>
      <c r="AZ6" s="62">
        <f t="shared" si="6"/>
        <v>49757.28999999999</v>
      </c>
      <c r="BB6" s="102">
        <f t="shared" si="7"/>
        <v>7</v>
      </c>
      <c r="BC6" s="81">
        <f t="shared" si="8"/>
        <v>459245</v>
      </c>
      <c r="BD6" s="81">
        <f t="shared" si="9"/>
        <v>3053923</v>
      </c>
      <c r="BE6" s="82">
        <f t="shared" si="10"/>
        <v>0.009520359910842548</v>
      </c>
      <c r="BF6" s="83">
        <f t="shared" si="11"/>
        <v>2907444.6100000003</v>
      </c>
    </row>
    <row r="7" spans="1:58" ht="12">
      <c r="A7" s="57">
        <v>1983</v>
      </c>
      <c r="B7" s="57">
        <v>1986</v>
      </c>
      <c r="D7" s="48">
        <v>106621</v>
      </c>
      <c r="E7" s="48">
        <v>438807</v>
      </c>
      <c r="F7" s="64">
        <v>2</v>
      </c>
      <c r="G7" s="62">
        <f t="shared" si="0"/>
        <v>877614</v>
      </c>
      <c r="I7" s="48">
        <v>53711</v>
      </c>
      <c r="J7" s="48">
        <v>373765</v>
      </c>
      <c r="K7" s="64">
        <v>2.67</v>
      </c>
      <c r="L7" s="62">
        <f t="shared" si="1"/>
        <v>997952.5499999999</v>
      </c>
      <c r="S7" s="48">
        <v>26427</v>
      </c>
      <c r="T7" s="48">
        <v>365043</v>
      </c>
      <c r="U7" s="64">
        <v>1.62</v>
      </c>
      <c r="V7" s="62">
        <f t="shared" si="2"/>
        <v>591369.66</v>
      </c>
      <c r="X7" s="48">
        <v>104737</v>
      </c>
      <c r="Y7" s="48">
        <v>261964</v>
      </c>
      <c r="Z7" s="64">
        <v>1.63</v>
      </c>
      <c r="AA7" s="62">
        <f t="shared" si="3"/>
        <v>427001.31999999995</v>
      </c>
      <c r="AH7" s="48">
        <v>77955</v>
      </c>
      <c r="AI7" s="48">
        <v>671852</v>
      </c>
      <c r="AJ7" s="64">
        <v>2.45</v>
      </c>
      <c r="AK7" s="62">
        <f t="shared" si="4"/>
        <v>1646037.4000000001</v>
      </c>
      <c r="AM7" s="48">
        <v>25992</v>
      </c>
      <c r="AN7" s="48">
        <v>150433</v>
      </c>
      <c r="AO7" s="64">
        <v>2.78</v>
      </c>
      <c r="AP7" s="62">
        <f t="shared" si="5"/>
        <v>418203.74</v>
      </c>
      <c r="AW7" s="48">
        <v>25237</v>
      </c>
      <c r="AX7" s="48">
        <v>75107</v>
      </c>
      <c r="AY7" s="64">
        <v>0.2</v>
      </c>
      <c r="AZ7" s="62">
        <f t="shared" si="6"/>
        <v>15021.400000000001</v>
      </c>
      <c r="BB7" s="102">
        <f t="shared" si="7"/>
        <v>7</v>
      </c>
      <c r="BC7" s="81">
        <f t="shared" si="8"/>
        <v>420680</v>
      </c>
      <c r="BD7" s="81">
        <f t="shared" si="9"/>
        <v>2336971</v>
      </c>
      <c r="BE7" s="82">
        <f t="shared" si="10"/>
        <v>0.02128053822661899</v>
      </c>
      <c r="BF7" s="83">
        <f t="shared" si="11"/>
        <v>4973200.07</v>
      </c>
    </row>
    <row r="8" spans="1:58" ht="12">
      <c r="A8" s="57">
        <v>1984</v>
      </c>
      <c r="B8" s="57">
        <v>1987</v>
      </c>
      <c r="D8" s="48">
        <v>73759</v>
      </c>
      <c r="E8" s="48">
        <v>567566</v>
      </c>
      <c r="F8" s="64">
        <v>0.84</v>
      </c>
      <c r="G8" s="62">
        <f t="shared" si="0"/>
        <v>476755.44</v>
      </c>
      <c r="I8" s="48">
        <v>51304</v>
      </c>
      <c r="J8" s="48">
        <v>399471</v>
      </c>
      <c r="K8" s="64">
        <v>0.52</v>
      </c>
      <c r="L8" s="62">
        <f t="shared" si="1"/>
        <v>207724.92</v>
      </c>
      <c r="S8" s="48">
        <v>26206</v>
      </c>
      <c r="T8" s="48">
        <v>458386</v>
      </c>
      <c r="U8" s="64">
        <v>0.26</v>
      </c>
      <c r="V8" s="62">
        <f t="shared" si="2"/>
        <v>119180.36</v>
      </c>
      <c r="X8" s="48">
        <v>129046</v>
      </c>
      <c r="Y8" s="48">
        <v>474690</v>
      </c>
      <c r="Z8" s="64">
        <v>0.53</v>
      </c>
      <c r="AA8" s="62">
        <f t="shared" si="3"/>
        <v>251585.7</v>
      </c>
      <c r="AH8" s="48">
        <v>126502</v>
      </c>
      <c r="AI8" s="48">
        <v>663548</v>
      </c>
      <c r="AJ8" s="64">
        <v>0.94</v>
      </c>
      <c r="AK8" s="62">
        <f t="shared" si="4"/>
        <v>623735.12</v>
      </c>
      <c r="AM8" s="48">
        <v>26320</v>
      </c>
      <c r="AN8" s="48">
        <v>152061</v>
      </c>
      <c r="AO8" s="64">
        <v>4.45</v>
      </c>
      <c r="AP8" s="62">
        <f t="shared" si="5"/>
        <v>676671.4500000001</v>
      </c>
      <c r="AR8" s="48">
        <v>26196</v>
      </c>
      <c r="AS8" s="48">
        <v>67783</v>
      </c>
      <c r="AT8" s="64">
        <v>0.52</v>
      </c>
      <c r="AU8" s="62">
        <f aca="true" t="shared" si="12" ref="AU8:AU24">AS8*AT8</f>
        <v>35247.16</v>
      </c>
      <c r="AW8" s="48">
        <v>23784</v>
      </c>
      <c r="AX8" s="48">
        <v>83839</v>
      </c>
      <c r="AY8" s="64">
        <v>0.38</v>
      </c>
      <c r="AZ8" s="62">
        <f t="shared" si="6"/>
        <v>31858.82</v>
      </c>
      <c r="BB8" s="102">
        <f t="shared" si="7"/>
        <v>8</v>
      </c>
      <c r="BC8" s="81">
        <f t="shared" si="8"/>
        <v>483117</v>
      </c>
      <c r="BD8" s="81">
        <f t="shared" si="9"/>
        <v>2867344</v>
      </c>
      <c r="BE8" s="82">
        <f t="shared" si="10"/>
        <v>0.008449488341824352</v>
      </c>
      <c r="BF8" s="83">
        <f t="shared" si="11"/>
        <v>2422758.97</v>
      </c>
    </row>
    <row r="9" spans="1:58" ht="12">
      <c r="A9" s="57">
        <v>1985</v>
      </c>
      <c r="B9" s="57">
        <v>1988</v>
      </c>
      <c r="D9" s="48">
        <v>76696</v>
      </c>
      <c r="E9" s="48">
        <v>567949</v>
      </c>
      <c r="F9" s="64">
        <v>6.22</v>
      </c>
      <c r="G9" s="62">
        <f t="shared" si="0"/>
        <v>3532642.78</v>
      </c>
      <c r="I9" s="48">
        <v>52720</v>
      </c>
      <c r="J9" s="48">
        <v>369776</v>
      </c>
      <c r="K9" s="64">
        <v>2.91</v>
      </c>
      <c r="L9" s="62">
        <f t="shared" si="1"/>
        <v>1076048.1600000001</v>
      </c>
      <c r="S9" s="48">
        <v>24470</v>
      </c>
      <c r="T9" s="48">
        <v>254038</v>
      </c>
      <c r="U9" s="64">
        <v>0.63</v>
      </c>
      <c r="V9" s="62">
        <f t="shared" si="2"/>
        <v>160043.94</v>
      </c>
      <c r="X9" s="48">
        <v>71226</v>
      </c>
      <c r="Y9" s="48">
        <v>496448</v>
      </c>
      <c r="Z9" s="64">
        <v>1.37</v>
      </c>
      <c r="AA9" s="62">
        <f t="shared" si="3"/>
        <v>680133.76</v>
      </c>
      <c r="AH9" s="48">
        <v>73989</v>
      </c>
      <c r="AI9" s="48">
        <v>949959</v>
      </c>
      <c r="AJ9" s="64">
        <v>1.99</v>
      </c>
      <c r="AK9" s="62">
        <f t="shared" si="4"/>
        <v>1890418.41</v>
      </c>
      <c r="AM9" s="48">
        <v>26808</v>
      </c>
      <c r="AN9" s="48">
        <v>149959</v>
      </c>
      <c r="AO9" s="64">
        <v>1.52</v>
      </c>
      <c r="AP9" s="62">
        <f t="shared" si="5"/>
        <v>227937.68</v>
      </c>
      <c r="AR9" s="48">
        <v>10989</v>
      </c>
      <c r="AS9" s="48">
        <v>11398</v>
      </c>
      <c r="AT9" s="64">
        <v>7.88</v>
      </c>
      <c r="AU9" s="62">
        <f t="shared" si="12"/>
        <v>89816.24</v>
      </c>
      <c r="AW9" s="48">
        <v>24081</v>
      </c>
      <c r="AX9" s="48">
        <v>99888</v>
      </c>
      <c r="AY9" s="64">
        <v>3.41</v>
      </c>
      <c r="AZ9" s="62">
        <f t="shared" si="6"/>
        <v>340618.08</v>
      </c>
      <c r="BB9" s="102">
        <f t="shared" si="7"/>
        <v>8</v>
      </c>
      <c r="BC9" s="81">
        <f t="shared" si="8"/>
        <v>360979</v>
      </c>
      <c r="BD9" s="81">
        <f t="shared" si="9"/>
        <v>2899415</v>
      </c>
      <c r="BE9" s="82">
        <f t="shared" si="10"/>
        <v>0.02758369895306467</v>
      </c>
      <c r="BF9" s="83">
        <f t="shared" si="11"/>
        <v>7997659.05</v>
      </c>
    </row>
    <row r="10" spans="1:58" ht="12">
      <c r="A10" s="57">
        <v>1986</v>
      </c>
      <c r="B10" s="57">
        <v>1989</v>
      </c>
      <c r="D10" s="48">
        <v>76882</v>
      </c>
      <c r="E10" s="48">
        <v>741204</v>
      </c>
      <c r="F10" s="64">
        <v>1.73</v>
      </c>
      <c r="G10" s="62">
        <f t="shared" si="0"/>
        <v>1282282.92</v>
      </c>
      <c r="I10" s="48">
        <v>50906</v>
      </c>
      <c r="J10" s="48">
        <v>392624</v>
      </c>
      <c r="K10" s="64">
        <v>3.57</v>
      </c>
      <c r="L10" s="62">
        <f t="shared" si="1"/>
        <v>1401667.68</v>
      </c>
      <c r="S10" s="48">
        <v>26249</v>
      </c>
      <c r="T10" s="48">
        <v>528528</v>
      </c>
      <c r="U10" s="64">
        <v>0.59</v>
      </c>
      <c r="V10" s="62">
        <f t="shared" si="2"/>
        <v>311831.51999999996</v>
      </c>
      <c r="X10" s="48">
        <v>25827</v>
      </c>
      <c r="Y10" s="48">
        <v>513634</v>
      </c>
      <c r="Z10" s="64">
        <v>0.64</v>
      </c>
      <c r="AA10" s="62">
        <f t="shared" si="3"/>
        <v>328725.76</v>
      </c>
      <c r="AH10" s="48">
        <v>81494</v>
      </c>
      <c r="AI10" s="48">
        <v>960856</v>
      </c>
      <c r="AJ10" s="64">
        <v>2.99</v>
      </c>
      <c r="AK10" s="62">
        <f t="shared" si="4"/>
        <v>2872959.4400000004</v>
      </c>
      <c r="AM10" s="48">
        <v>26092</v>
      </c>
      <c r="AN10" s="48">
        <v>187032</v>
      </c>
      <c r="AO10" s="64">
        <v>1.61</v>
      </c>
      <c r="AP10" s="62">
        <f t="shared" si="5"/>
        <v>301121.52</v>
      </c>
      <c r="AR10" s="48">
        <v>27424</v>
      </c>
      <c r="AS10" s="48">
        <v>44907</v>
      </c>
      <c r="AT10" s="64">
        <v>3.95</v>
      </c>
      <c r="AU10" s="62">
        <f t="shared" si="12"/>
        <v>177382.65</v>
      </c>
      <c r="AW10" s="48">
        <v>27858</v>
      </c>
      <c r="AX10" s="48">
        <v>99918</v>
      </c>
      <c r="AY10" s="64">
        <v>3.6</v>
      </c>
      <c r="AZ10" s="62">
        <f t="shared" si="6"/>
        <v>359704.8</v>
      </c>
      <c r="BB10" s="102">
        <f t="shared" si="7"/>
        <v>8</v>
      </c>
      <c r="BC10" s="81">
        <f t="shared" si="8"/>
        <v>342732</v>
      </c>
      <c r="BD10" s="81">
        <f t="shared" si="9"/>
        <v>3468703</v>
      </c>
      <c r="BE10" s="82">
        <f t="shared" si="10"/>
        <v>0.02028330557559987</v>
      </c>
      <c r="BF10" s="83">
        <f t="shared" si="11"/>
        <v>7035676.29</v>
      </c>
    </row>
    <row r="11" spans="1:58" ht="12">
      <c r="A11" s="57">
        <v>1987</v>
      </c>
      <c r="B11" s="57">
        <v>1990</v>
      </c>
      <c r="D11" s="48">
        <v>24338</v>
      </c>
      <c r="E11" s="48">
        <v>804901</v>
      </c>
      <c r="F11" s="64">
        <v>2.05</v>
      </c>
      <c r="G11" s="62">
        <f t="shared" si="0"/>
        <v>1650047.0499999998</v>
      </c>
      <c r="I11" s="48">
        <v>54189</v>
      </c>
      <c r="J11" s="48">
        <v>393117</v>
      </c>
      <c r="K11" s="64">
        <v>2.75</v>
      </c>
      <c r="L11" s="62">
        <f t="shared" si="1"/>
        <v>1081071.75</v>
      </c>
      <c r="S11" s="48">
        <v>26102</v>
      </c>
      <c r="T11" s="48">
        <v>486196</v>
      </c>
      <c r="U11" s="64">
        <v>0.46</v>
      </c>
      <c r="V11" s="62">
        <f t="shared" si="2"/>
        <v>223650.16</v>
      </c>
      <c r="X11" s="48">
        <v>24115</v>
      </c>
      <c r="Y11" s="48">
        <v>440803</v>
      </c>
      <c r="Z11" s="64">
        <v>0.65</v>
      </c>
      <c r="AA11" s="62">
        <f t="shared" si="3"/>
        <v>286521.95</v>
      </c>
      <c r="AH11" s="48">
        <v>104774</v>
      </c>
      <c r="AI11" s="48">
        <v>1269915</v>
      </c>
      <c r="AJ11" s="64">
        <v>0.87</v>
      </c>
      <c r="AK11" s="62">
        <f t="shared" si="4"/>
        <v>1104826.05</v>
      </c>
      <c r="AM11" s="48">
        <v>25363</v>
      </c>
      <c r="AN11" s="48">
        <v>219196</v>
      </c>
      <c r="AO11" s="64">
        <v>1.93</v>
      </c>
      <c r="AP11" s="62">
        <f t="shared" si="5"/>
        <v>423048.27999999997</v>
      </c>
      <c r="AR11" s="48">
        <v>50474</v>
      </c>
      <c r="AS11" s="48">
        <v>87017</v>
      </c>
      <c r="AT11" s="64">
        <v>4.66</v>
      </c>
      <c r="AU11" s="62">
        <f t="shared" si="12"/>
        <v>405499.22000000003</v>
      </c>
      <c r="AW11" s="48">
        <v>25483</v>
      </c>
      <c r="AX11" s="48">
        <v>117919</v>
      </c>
      <c r="AY11" s="64">
        <v>1.79</v>
      </c>
      <c r="AZ11" s="62">
        <f t="shared" si="6"/>
        <v>211075.01</v>
      </c>
      <c r="BB11" s="102">
        <f t="shared" si="7"/>
        <v>8</v>
      </c>
      <c r="BC11" s="81">
        <f t="shared" si="8"/>
        <v>334838</v>
      </c>
      <c r="BD11" s="81">
        <f t="shared" si="9"/>
        <v>3819064</v>
      </c>
      <c r="BE11" s="82">
        <f t="shared" si="10"/>
        <v>0.014102249844464508</v>
      </c>
      <c r="BF11" s="83">
        <f t="shared" si="11"/>
        <v>5385739.47</v>
      </c>
    </row>
    <row r="12" spans="1:58" ht="12">
      <c r="A12" s="57">
        <v>1988</v>
      </c>
      <c r="B12" s="57">
        <v>1991</v>
      </c>
      <c r="D12" s="48">
        <v>23479</v>
      </c>
      <c r="E12" s="48">
        <v>830852</v>
      </c>
      <c r="F12" s="64">
        <v>4.11</v>
      </c>
      <c r="G12" s="62">
        <f t="shared" si="0"/>
        <v>3414801.72</v>
      </c>
      <c r="I12" s="48">
        <v>50838</v>
      </c>
      <c r="J12" s="48">
        <v>301660</v>
      </c>
      <c r="K12" s="64">
        <v>1.96</v>
      </c>
      <c r="L12" s="62">
        <f t="shared" si="1"/>
        <v>591253.6</v>
      </c>
      <c r="S12" s="48">
        <v>26708</v>
      </c>
      <c r="T12" s="48">
        <v>301080</v>
      </c>
      <c r="U12" s="64">
        <v>1.15</v>
      </c>
      <c r="V12" s="62">
        <f t="shared" si="2"/>
        <v>346242</v>
      </c>
      <c r="X12" s="48">
        <v>54601</v>
      </c>
      <c r="Y12" s="48">
        <v>1043894</v>
      </c>
      <c r="Z12" s="64">
        <v>0.85</v>
      </c>
      <c r="AA12" s="62">
        <f t="shared" si="3"/>
        <v>887309.9</v>
      </c>
      <c r="AH12" s="48">
        <v>107765</v>
      </c>
      <c r="AI12" s="48">
        <v>1070072</v>
      </c>
      <c r="AJ12" s="64">
        <v>1.41</v>
      </c>
      <c r="AK12" s="62">
        <f t="shared" si="4"/>
        <v>1508801.52</v>
      </c>
      <c r="AM12" s="48">
        <v>51612</v>
      </c>
      <c r="AN12" s="48">
        <v>235030</v>
      </c>
      <c r="AO12" s="64">
        <v>2.11</v>
      </c>
      <c r="AP12" s="62">
        <f t="shared" si="5"/>
        <v>495913.3</v>
      </c>
      <c r="AR12" s="48">
        <v>50359</v>
      </c>
      <c r="AS12" s="48">
        <v>108146</v>
      </c>
      <c r="AT12" s="64">
        <v>2.86</v>
      </c>
      <c r="AU12" s="62">
        <f t="shared" si="12"/>
        <v>309297.56</v>
      </c>
      <c r="AW12" s="48">
        <v>25076</v>
      </c>
      <c r="AX12" s="48">
        <v>99477</v>
      </c>
      <c r="AY12" s="64">
        <v>1.04</v>
      </c>
      <c r="AZ12" s="62">
        <f t="shared" si="6"/>
        <v>103456.08</v>
      </c>
      <c r="BB12" s="102">
        <f t="shared" si="7"/>
        <v>8</v>
      </c>
      <c r="BC12" s="81">
        <f t="shared" si="8"/>
        <v>390438</v>
      </c>
      <c r="BD12" s="81">
        <f t="shared" si="9"/>
        <v>3990211</v>
      </c>
      <c r="BE12" s="82">
        <f t="shared" si="10"/>
        <v>0.01918965107358984</v>
      </c>
      <c r="BF12" s="83">
        <f t="shared" si="11"/>
        <v>7657075.68</v>
      </c>
    </row>
    <row r="13" spans="1:58" ht="12">
      <c r="A13" s="57">
        <v>1989</v>
      </c>
      <c r="B13" s="57">
        <v>1992</v>
      </c>
      <c r="D13" s="48">
        <v>54635</v>
      </c>
      <c r="E13" s="48">
        <v>735845</v>
      </c>
      <c r="F13" s="64">
        <v>0.99</v>
      </c>
      <c r="G13" s="62">
        <f t="shared" si="0"/>
        <v>728486.55</v>
      </c>
      <c r="I13" s="48">
        <v>50199</v>
      </c>
      <c r="J13" s="48">
        <v>343683</v>
      </c>
      <c r="K13" s="64">
        <v>0.96</v>
      </c>
      <c r="L13" s="62">
        <f t="shared" si="1"/>
        <v>329935.68</v>
      </c>
      <c r="S13" s="48">
        <v>26235</v>
      </c>
      <c r="T13" s="48">
        <v>505175</v>
      </c>
      <c r="U13" s="64">
        <v>0.3</v>
      </c>
      <c r="V13" s="62">
        <f t="shared" si="2"/>
        <v>151552.5</v>
      </c>
      <c r="X13" s="48">
        <v>25229</v>
      </c>
      <c r="Y13" s="48">
        <v>528643</v>
      </c>
      <c r="Z13" s="64">
        <v>0.42</v>
      </c>
      <c r="AA13" s="62">
        <f t="shared" si="3"/>
        <v>222030.06</v>
      </c>
      <c r="AH13" s="48">
        <v>107410</v>
      </c>
      <c r="AI13" s="48">
        <v>1031544</v>
      </c>
      <c r="AJ13" s="64">
        <v>1.67</v>
      </c>
      <c r="AK13" s="62">
        <f t="shared" si="4"/>
        <v>1722678.48</v>
      </c>
      <c r="AM13" s="48">
        <v>54908</v>
      </c>
      <c r="AN13" s="48">
        <v>227861</v>
      </c>
      <c r="AO13" s="64">
        <v>1.69</v>
      </c>
      <c r="AP13" s="62">
        <f t="shared" si="5"/>
        <v>385085.08999999997</v>
      </c>
      <c r="AR13" s="48">
        <v>45716</v>
      </c>
      <c r="AS13" s="48">
        <v>58469</v>
      </c>
      <c r="AT13" s="64">
        <v>1.25</v>
      </c>
      <c r="AU13" s="62">
        <f t="shared" si="12"/>
        <v>73086.25</v>
      </c>
      <c r="AW13" s="48">
        <v>24237</v>
      </c>
      <c r="AX13" s="48">
        <v>95497</v>
      </c>
      <c r="AY13" s="64">
        <v>0.13</v>
      </c>
      <c r="AZ13" s="62">
        <f t="shared" si="6"/>
        <v>12414.61</v>
      </c>
      <c r="BB13" s="102">
        <f t="shared" si="7"/>
        <v>8</v>
      </c>
      <c r="BC13" s="81">
        <f t="shared" si="8"/>
        <v>388569</v>
      </c>
      <c r="BD13" s="81">
        <f t="shared" si="9"/>
        <v>3526717</v>
      </c>
      <c r="BE13" s="82">
        <f t="shared" si="10"/>
        <v>0.01027944465064818</v>
      </c>
      <c r="BF13" s="83">
        <f t="shared" si="11"/>
        <v>3625269.2199999997</v>
      </c>
    </row>
    <row r="14" spans="1:58" ht="12">
      <c r="A14" s="57">
        <v>1990</v>
      </c>
      <c r="B14" s="57">
        <v>1993</v>
      </c>
      <c r="D14" s="48">
        <v>53836</v>
      </c>
      <c r="E14" s="48">
        <v>832351</v>
      </c>
      <c r="F14" s="64">
        <v>1.48</v>
      </c>
      <c r="G14" s="62">
        <f t="shared" si="0"/>
        <v>1231879.48</v>
      </c>
      <c r="I14" s="48">
        <v>50083</v>
      </c>
      <c r="J14" s="48">
        <v>321253</v>
      </c>
      <c r="K14" s="64">
        <v>0.6</v>
      </c>
      <c r="L14" s="62">
        <f t="shared" si="1"/>
        <v>192751.8</v>
      </c>
      <c r="N14" s="88">
        <v>23847</v>
      </c>
      <c r="O14" s="88">
        <v>42824</v>
      </c>
      <c r="P14" s="89">
        <v>0.3</v>
      </c>
      <c r="Q14" s="87">
        <f>O14*P14</f>
        <v>12847.199999999999</v>
      </c>
      <c r="S14" s="48">
        <v>27226</v>
      </c>
      <c r="T14" s="48">
        <v>255933</v>
      </c>
      <c r="U14" s="64">
        <v>0.58</v>
      </c>
      <c r="V14" s="62">
        <f t="shared" si="2"/>
        <v>148441.13999999998</v>
      </c>
      <c r="X14" s="48">
        <v>26985</v>
      </c>
      <c r="Y14" s="48">
        <f>403046+100048</f>
        <v>503094</v>
      </c>
      <c r="Z14" s="64">
        <v>0.59</v>
      </c>
      <c r="AA14" s="62">
        <f t="shared" si="3"/>
        <v>296825.45999999996</v>
      </c>
      <c r="AH14" s="48">
        <v>73607</v>
      </c>
      <c r="AI14" s="48">
        <v>1498461</v>
      </c>
      <c r="AJ14" s="64">
        <v>0.54</v>
      </c>
      <c r="AK14" s="62">
        <f t="shared" si="4"/>
        <v>809168.9400000001</v>
      </c>
      <c r="AM14" s="48">
        <v>52115</v>
      </c>
      <c r="AN14" s="48">
        <v>155193</v>
      </c>
      <c r="AO14" s="64">
        <v>1.15</v>
      </c>
      <c r="AP14" s="62">
        <f t="shared" si="5"/>
        <v>178471.94999999998</v>
      </c>
      <c r="AR14" s="48">
        <v>20645</v>
      </c>
      <c r="AS14" s="48">
        <v>79505</v>
      </c>
      <c r="AT14" s="64">
        <v>1.18</v>
      </c>
      <c r="AU14" s="62">
        <f t="shared" si="12"/>
        <v>93815.9</v>
      </c>
      <c r="AW14" s="48">
        <v>26175</v>
      </c>
      <c r="AX14" s="48">
        <v>48585</v>
      </c>
      <c r="AY14" s="64">
        <v>1.46</v>
      </c>
      <c r="AZ14" s="62">
        <f t="shared" si="6"/>
        <v>70934.09999999999</v>
      </c>
      <c r="BB14" s="102">
        <f t="shared" si="7"/>
        <v>9</v>
      </c>
      <c r="BC14" s="81">
        <f t="shared" si="8"/>
        <v>354519</v>
      </c>
      <c r="BD14" s="81">
        <f t="shared" si="9"/>
        <v>3737199</v>
      </c>
      <c r="BE14" s="82">
        <f t="shared" si="10"/>
        <v>0.00812141919656941</v>
      </c>
      <c r="BF14" s="83">
        <f t="shared" si="11"/>
        <v>3035135.97</v>
      </c>
    </row>
    <row r="15" spans="1:58" ht="12">
      <c r="A15" s="57">
        <v>1991</v>
      </c>
      <c r="B15" s="57">
        <v>1994</v>
      </c>
      <c r="D15" s="48">
        <v>54424</v>
      </c>
      <c r="E15" s="48">
        <v>760261</v>
      </c>
      <c r="F15" s="64">
        <v>0.56</v>
      </c>
      <c r="G15" s="62">
        <f t="shared" si="0"/>
        <v>425746.16000000003</v>
      </c>
      <c r="I15" s="48">
        <v>53601</v>
      </c>
      <c r="J15" s="48">
        <v>297264</v>
      </c>
      <c r="K15" s="64">
        <v>0.46</v>
      </c>
      <c r="L15" s="62">
        <f t="shared" si="1"/>
        <v>136741.44</v>
      </c>
      <c r="S15" s="48">
        <v>25548</v>
      </c>
      <c r="T15" s="48">
        <v>405164</v>
      </c>
      <c r="U15" s="64">
        <v>0.31</v>
      </c>
      <c r="V15" s="62">
        <f t="shared" si="2"/>
        <v>125600.84</v>
      </c>
      <c r="X15" s="48">
        <v>24852</v>
      </c>
      <c r="Y15" s="48">
        <f>371014+121250</f>
        <v>492264</v>
      </c>
      <c r="Z15" s="64">
        <v>0.2</v>
      </c>
      <c r="AA15" s="62">
        <f t="shared" si="3"/>
        <v>98452.8</v>
      </c>
      <c r="AH15" s="48">
        <v>105725</v>
      </c>
      <c r="AI15" s="48">
        <v>941305</v>
      </c>
      <c r="AJ15" s="64">
        <v>0.3</v>
      </c>
      <c r="AK15" s="62">
        <f t="shared" si="4"/>
        <v>282391.5</v>
      </c>
      <c r="AM15" s="48">
        <v>51030</v>
      </c>
      <c r="AN15" s="48">
        <v>153598</v>
      </c>
      <c r="AO15" s="64">
        <v>0.63</v>
      </c>
      <c r="AP15" s="62">
        <f t="shared" si="5"/>
        <v>96766.74</v>
      </c>
      <c r="AR15" s="48">
        <v>20792</v>
      </c>
      <c r="AS15" s="48">
        <v>86030</v>
      </c>
      <c r="AT15" s="64">
        <v>0.54</v>
      </c>
      <c r="AU15" s="62">
        <f t="shared" si="12"/>
        <v>46456.200000000004</v>
      </c>
      <c r="AW15" s="48">
        <v>25565</v>
      </c>
      <c r="AX15" s="48">
        <v>43930</v>
      </c>
      <c r="AY15" s="64">
        <v>0.13</v>
      </c>
      <c r="AZ15" s="62">
        <f t="shared" si="6"/>
        <v>5710.900000000001</v>
      </c>
      <c r="BB15" s="102">
        <f t="shared" si="7"/>
        <v>8</v>
      </c>
      <c r="BC15" s="81">
        <f t="shared" si="8"/>
        <v>361537</v>
      </c>
      <c r="BD15" s="81">
        <f t="shared" si="9"/>
        <v>3179816</v>
      </c>
      <c r="BE15" s="82">
        <f t="shared" si="10"/>
        <v>0.003829990729023315</v>
      </c>
      <c r="BF15" s="83">
        <f t="shared" si="11"/>
        <v>1217866.58</v>
      </c>
    </row>
    <row r="16" spans="1:58" ht="12">
      <c r="A16" s="57">
        <v>1992</v>
      </c>
      <c r="B16" s="57">
        <v>1995</v>
      </c>
      <c r="D16" s="48">
        <v>52317</v>
      </c>
      <c r="E16" s="48">
        <v>839514</v>
      </c>
      <c r="F16" s="64">
        <v>0.37</v>
      </c>
      <c r="G16" s="62">
        <f t="shared" si="0"/>
        <v>310620.18</v>
      </c>
      <c r="I16" s="48">
        <v>50579</v>
      </c>
      <c r="J16" s="48">
        <v>407552</v>
      </c>
      <c r="K16" s="64">
        <v>0.84</v>
      </c>
      <c r="L16" s="62">
        <f t="shared" si="1"/>
        <v>342343.68</v>
      </c>
      <c r="S16" s="48">
        <v>19553</v>
      </c>
      <c r="T16" s="48">
        <v>403118</v>
      </c>
      <c r="U16" s="64">
        <v>0.25</v>
      </c>
      <c r="V16" s="62">
        <f t="shared" si="2"/>
        <v>100779.5</v>
      </c>
      <c r="X16" s="48">
        <v>49464</v>
      </c>
      <c r="Y16" s="48">
        <v>820830</v>
      </c>
      <c r="Z16" s="64">
        <v>0.09</v>
      </c>
      <c r="AA16" s="62">
        <f t="shared" si="3"/>
        <v>73874.7</v>
      </c>
      <c r="AH16" s="48">
        <v>104638</v>
      </c>
      <c r="AI16" s="48">
        <v>928704</v>
      </c>
      <c r="AJ16" s="64">
        <v>0.36</v>
      </c>
      <c r="AK16" s="62">
        <f t="shared" si="4"/>
        <v>334333.44</v>
      </c>
      <c r="AM16" s="48">
        <v>53951</v>
      </c>
      <c r="AN16" s="48">
        <v>149140</v>
      </c>
      <c r="AO16" s="64">
        <v>0.4</v>
      </c>
      <c r="AP16" s="62">
        <f t="shared" si="5"/>
        <v>59656</v>
      </c>
      <c r="AR16" s="48">
        <v>24986</v>
      </c>
      <c r="AS16" s="48">
        <v>98994</v>
      </c>
      <c r="AT16" s="64">
        <v>0.41</v>
      </c>
      <c r="AU16" s="62">
        <f t="shared" si="12"/>
        <v>40587.54</v>
      </c>
      <c r="AW16" s="48">
        <v>23398</v>
      </c>
      <c r="AX16" s="48">
        <v>49153</v>
      </c>
      <c r="AY16" s="64">
        <v>0.03</v>
      </c>
      <c r="AZ16" s="62">
        <f t="shared" si="6"/>
        <v>1474.59</v>
      </c>
      <c r="BB16" s="102">
        <f t="shared" si="7"/>
        <v>8</v>
      </c>
      <c r="BC16" s="81">
        <f t="shared" si="8"/>
        <v>378886</v>
      </c>
      <c r="BD16" s="81">
        <f t="shared" si="9"/>
        <v>3697005</v>
      </c>
      <c r="BE16" s="82">
        <f t="shared" si="10"/>
        <v>0.003418090129713106</v>
      </c>
      <c r="BF16" s="83">
        <f t="shared" si="11"/>
        <v>1263669.6300000001</v>
      </c>
    </row>
    <row r="17" spans="1:58" ht="12">
      <c r="A17" s="57">
        <v>1993</v>
      </c>
      <c r="B17" s="57">
        <v>1996</v>
      </c>
      <c r="D17" s="48">
        <v>53382</v>
      </c>
      <c r="E17" s="48">
        <v>789984</v>
      </c>
      <c r="F17" s="64">
        <v>0.67</v>
      </c>
      <c r="G17" s="62">
        <f t="shared" si="0"/>
        <v>529289.28</v>
      </c>
      <c r="I17" s="48">
        <v>214790</v>
      </c>
      <c r="J17" s="48">
        <v>216801</v>
      </c>
      <c r="K17" s="64">
        <v>0.53</v>
      </c>
      <c r="L17" s="62">
        <f t="shared" si="1"/>
        <v>114904.53</v>
      </c>
      <c r="S17" s="48">
        <v>25050</v>
      </c>
      <c r="T17" s="48">
        <v>316281</v>
      </c>
      <c r="U17" s="64">
        <v>0.4</v>
      </c>
      <c r="V17" s="62">
        <f t="shared" si="2"/>
        <v>126512.40000000001</v>
      </c>
      <c r="X17" s="48">
        <v>25878</v>
      </c>
      <c r="Y17" s="48">
        <v>312047</v>
      </c>
      <c r="Z17" s="64">
        <v>0.11</v>
      </c>
      <c r="AA17" s="62">
        <f t="shared" si="3"/>
        <v>34325.17</v>
      </c>
      <c r="AC17" s="48">
        <v>25432</v>
      </c>
      <c r="AD17" s="48">
        <v>306402</v>
      </c>
      <c r="AE17" s="53">
        <v>1.09</v>
      </c>
      <c r="AF17" s="62">
        <f>AD17*AE17</f>
        <v>333978.18000000005</v>
      </c>
      <c r="AH17" s="48">
        <v>107971</v>
      </c>
      <c r="AI17" s="48">
        <v>1046283</v>
      </c>
      <c r="AJ17" s="64">
        <v>0.24</v>
      </c>
      <c r="AK17" s="62">
        <f t="shared" si="4"/>
        <v>251107.91999999998</v>
      </c>
      <c r="AM17" s="48">
        <v>50632</v>
      </c>
      <c r="AN17" s="48">
        <v>132493</v>
      </c>
      <c r="AO17" s="64">
        <v>0.17</v>
      </c>
      <c r="AP17" s="62">
        <f t="shared" si="5"/>
        <v>22523.81</v>
      </c>
      <c r="AR17" s="48">
        <v>23877</v>
      </c>
      <c r="AS17" s="48">
        <v>70871</v>
      </c>
      <c r="AT17" s="64">
        <v>0.24</v>
      </c>
      <c r="AU17" s="62">
        <f t="shared" si="12"/>
        <v>17009.04</v>
      </c>
      <c r="AX17" s="86"/>
      <c r="AY17" s="64"/>
      <c r="AZ17" s="62"/>
      <c r="BB17" s="102">
        <f t="shared" si="7"/>
        <v>8</v>
      </c>
      <c r="BC17" s="81">
        <f t="shared" si="8"/>
        <v>527012</v>
      </c>
      <c r="BD17" s="81">
        <f t="shared" si="9"/>
        <v>3191162</v>
      </c>
      <c r="BE17" s="82">
        <f t="shared" si="10"/>
        <v>0.0044800305656685566</v>
      </c>
      <c r="BF17" s="83">
        <f t="shared" si="11"/>
        <v>1429650.33</v>
      </c>
    </row>
    <row r="18" spans="1:58" ht="12">
      <c r="A18" s="57">
        <v>1994</v>
      </c>
      <c r="B18" s="57">
        <v>1997</v>
      </c>
      <c r="D18" s="48">
        <v>51705</v>
      </c>
      <c r="E18" s="48">
        <v>636519</v>
      </c>
      <c r="F18" s="64">
        <v>0.45</v>
      </c>
      <c r="G18" s="62">
        <f t="shared" si="0"/>
        <v>286433.55</v>
      </c>
      <c r="I18" s="48">
        <v>26357</v>
      </c>
      <c r="J18" s="48">
        <v>201098</v>
      </c>
      <c r="K18" s="64">
        <v>0.61</v>
      </c>
      <c r="L18" s="62">
        <f t="shared" si="1"/>
        <v>122669.78</v>
      </c>
      <c r="S18" s="48">
        <v>25993</v>
      </c>
      <c r="T18" s="48">
        <v>322200</v>
      </c>
      <c r="U18" s="64">
        <v>0.23</v>
      </c>
      <c r="V18" s="62">
        <f t="shared" si="2"/>
        <v>74106</v>
      </c>
      <c r="Z18" s="64"/>
      <c r="AA18" s="62"/>
      <c r="AC18" s="48">
        <v>40936</v>
      </c>
      <c r="AD18" s="48">
        <v>539381</v>
      </c>
      <c r="AE18" s="53">
        <v>0.46</v>
      </c>
      <c r="AF18" s="62">
        <f>AD18*AE18</f>
        <v>248115.26</v>
      </c>
      <c r="AH18" s="48">
        <v>105456</v>
      </c>
      <c r="AI18" s="48">
        <v>1010036</v>
      </c>
      <c r="AJ18" s="64">
        <v>0.03</v>
      </c>
      <c r="AK18" s="62">
        <f t="shared" si="4"/>
        <v>30301.079999999998</v>
      </c>
      <c r="AM18" s="48">
        <v>48720</v>
      </c>
      <c r="AN18" s="48">
        <v>153818</v>
      </c>
      <c r="AO18" s="64">
        <v>0.3</v>
      </c>
      <c r="AP18" s="62">
        <f t="shared" si="5"/>
        <v>46145.4</v>
      </c>
      <c r="AR18" s="48">
        <v>25348</v>
      </c>
      <c r="AS18" s="48">
        <v>65298</v>
      </c>
      <c r="AT18" s="64">
        <v>0.17</v>
      </c>
      <c r="AU18" s="62">
        <f t="shared" si="12"/>
        <v>11100.660000000002</v>
      </c>
      <c r="AX18" s="86"/>
      <c r="AY18" s="64"/>
      <c r="AZ18" s="62"/>
      <c r="BB18" s="102">
        <f t="shared" si="7"/>
        <v>7</v>
      </c>
      <c r="BC18" s="81">
        <f t="shared" si="8"/>
        <v>324515</v>
      </c>
      <c r="BD18" s="81">
        <f t="shared" si="9"/>
        <v>2928350</v>
      </c>
      <c r="BE18" s="82">
        <f t="shared" si="10"/>
        <v>0.0027963588027387436</v>
      </c>
      <c r="BF18" s="83">
        <f t="shared" si="11"/>
        <v>818871.73</v>
      </c>
    </row>
    <row r="19" spans="1:58" ht="12">
      <c r="A19" s="57">
        <v>1995</v>
      </c>
      <c r="B19" s="57">
        <v>1998</v>
      </c>
      <c r="D19" s="48">
        <v>51173</v>
      </c>
      <c r="E19" s="48">
        <v>629007</v>
      </c>
      <c r="F19" s="64">
        <v>0.34</v>
      </c>
      <c r="G19" s="62">
        <f t="shared" si="0"/>
        <v>213862.38</v>
      </c>
      <c r="I19" s="48">
        <v>23229</v>
      </c>
      <c r="J19" s="48">
        <v>144533</v>
      </c>
      <c r="K19" s="64">
        <v>1.21</v>
      </c>
      <c r="L19" s="62">
        <f t="shared" si="1"/>
        <v>174884.93</v>
      </c>
      <c r="S19" s="48">
        <v>21356</v>
      </c>
      <c r="T19" s="48">
        <v>200206</v>
      </c>
      <c r="U19" s="64">
        <v>0.59</v>
      </c>
      <c r="V19" s="62">
        <f t="shared" si="2"/>
        <v>118121.54</v>
      </c>
      <c r="Z19" s="64"/>
      <c r="AA19" s="62"/>
      <c r="AC19" s="48">
        <v>40309</v>
      </c>
      <c r="AD19" s="48">
        <v>410543</v>
      </c>
      <c r="AE19" s="53">
        <v>0.51</v>
      </c>
      <c r="AF19" s="62">
        <f>AD19*AE19</f>
        <v>209376.93</v>
      </c>
      <c r="AH19" s="48">
        <v>111403</v>
      </c>
      <c r="AI19" s="48">
        <v>976474</v>
      </c>
      <c r="AJ19" s="64">
        <v>0.64</v>
      </c>
      <c r="AK19" s="62">
        <f t="shared" si="4"/>
        <v>624943.36</v>
      </c>
      <c r="AM19" s="48">
        <v>49630</v>
      </c>
      <c r="AN19" s="48">
        <v>131077</v>
      </c>
      <c r="AO19" s="64">
        <v>0.5</v>
      </c>
      <c r="AP19" s="62">
        <f t="shared" si="5"/>
        <v>65538.5</v>
      </c>
      <c r="AR19" s="48">
        <v>26158</v>
      </c>
      <c r="AS19" s="48">
        <v>70540</v>
      </c>
      <c r="AT19" s="64">
        <v>0.24</v>
      </c>
      <c r="AU19" s="62">
        <f t="shared" si="12"/>
        <v>16929.6</v>
      </c>
      <c r="AW19" s="48">
        <v>22687</v>
      </c>
      <c r="AX19" s="48">
        <v>26299</v>
      </c>
      <c r="AY19" s="64">
        <v>0.36</v>
      </c>
      <c r="AZ19" s="62">
        <f aca="true" t="shared" si="13" ref="AZ19:AZ24">AX19*AY19</f>
        <v>9467.64</v>
      </c>
      <c r="BB19" s="102">
        <f t="shared" si="7"/>
        <v>8</v>
      </c>
      <c r="BC19" s="81">
        <f t="shared" si="8"/>
        <v>345945</v>
      </c>
      <c r="BD19" s="81">
        <f t="shared" si="9"/>
        <v>2588679</v>
      </c>
      <c r="BE19" s="82">
        <f t="shared" si="10"/>
        <v>0.005536124332140061</v>
      </c>
      <c r="BF19" s="83">
        <f t="shared" si="11"/>
        <v>1433124.8800000001</v>
      </c>
    </row>
    <row r="20" spans="1:58" ht="12">
      <c r="A20" s="57">
        <v>1996</v>
      </c>
      <c r="B20" s="57">
        <v>1999</v>
      </c>
      <c r="D20" s="48">
        <v>49044</v>
      </c>
      <c r="E20" s="48">
        <v>192645</v>
      </c>
      <c r="F20" s="64">
        <v>1.05</v>
      </c>
      <c r="G20" s="62">
        <f t="shared" si="0"/>
        <v>202277.25</v>
      </c>
      <c r="I20" s="48">
        <v>25297</v>
      </c>
      <c r="J20" s="48">
        <v>212525</v>
      </c>
      <c r="K20" s="64">
        <v>2.16</v>
      </c>
      <c r="L20" s="62">
        <f t="shared" si="1"/>
        <v>459054.00000000006</v>
      </c>
      <c r="S20" s="48">
        <f>24902+27047</f>
        <v>51949</v>
      </c>
      <c r="T20" s="48">
        <f>118361+274660</f>
        <v>393021</v>
      </c>
      <c r="U20" s="64">
        <v>0.81</v>
      </c>
      <c r="V20" s="62">
        <f t="shared" si="2"/>
        <v>318347.01</v>
      </c>
      <c r="Z20" s="64"/>
      <c r="AA20" s="62"/>
      <c r="AH20" s="48">
        <v>54252</v>
      </c>
      <c r="AI20" s="48">
        <v>206241</v>
      </c>
      <c r="AJ20" s="64">
        <v>0.31</v>
      </c>
      <c r="AK20" s="62">
        <f t="shared" si="4"/>
        <v>63934.71</v>
      </c>
      <c r="AM20" s="48">
        <v>54392</v>
      </c>
      <c r="AN20" s="48">
        <v>173446</v>
      </c>
      <c r="AO20" s="64">
        <v>0.59</v>
      </c>
      <c r="AP20" s="62">
        <f t="shared" si="5"/>
        <v>102333.14</v>
      </c>
      <c r="AR20" s="48">
        <v>26861</v>
      </c>
      <c r="AS20" s="48">
        <v>79135</v>
      </c>
      <c r="AT20" s="64">
        <v>0.38</v>
      </c>
      <c r="AU20" s="62">
        <f t="shared" si="12"/>
        <v>30071.3</v>
      </c>
      <c r="AW20" s="48">
        <v>26065</v>
      </c>
      <c r="AX20" s="48">
        <v>27418</v>
      </c>
      <c r="AY20" s="64">
        <v>0.89</v>
      </c>
      <c r="AZ20" s="62">
        <f t="shared" si="13"/>
        <v>24402.02</v>
      </c>
      <c r="BB20" s="102">
        <f t="shared" si="7"/>
        <v>7</v>
      </c>
      <c r="BC20" s="81">
        <f t="shared" si="8"/>
        <v>287860</v>
      </c>
      <c r="BD20" s="81">
        <f t="shared" si="9"/>
        <v>1284431</v>
      </c>
      <c r="BE20" s="82">
        <f t="shared" si="10"/>
        <v>0.009345923837092067</v>
      </c>
      <c r="BF20" s="83">
        <f t="shared" si="11"/>
        <v>1200419.43</v>
      </c>
    </row>
    <row r="21" spans="1:58" ht="12">
      <c r="A21" s="57">
        <v>1997</v>
      </c>
      <c r="B21" s="57">
        <v>2000</v>
      </c>
      <c r="D21" s="48">
        <v>53059</v>
      </c>
      <c r="E21" s="48">
        <v>214556</v>
      </c>
      <c r="F21" s="64">
        <v>0.25</v>
      </c>
      <c r="G21" s="62">
        <f t="shared" si="0"/>
        <v>53639</v>
      </c>
      <c r="I21" s="48">
        <v>26220</v>
      </c>
      <c r="J21" s="48">
        <v>189230</v>
      </c>
      <c r="K21" s="64">
        <v>2.71</v>
      </c>
      <c r="L21" s="62">
        <f t="shared" si="1"/>
        <v>512813.3</v>
      </c>
      <c r="S21" s="48">
        <v>25694</v>
      </c>
      <c r="T21" s="48">
        <v>111052</v>
      </c>
      <c r="U21" s="64">
        <v>0.25</v>
      </c>
      <c r="V21" s="62">
        <f t="shared" si="2"/>
        <v>27763</v>
      </c>
      <c r="AM21" s="48">
        <v>56502</v>
      </c>
      <c r="AN21" s="48">
        <v>141374</v>
      </c>
      <c r="AO21" s="64">
        <v>0.54</v>
      </c>
      <c r="AP21" s="62">
        <f t="shared" si="5"/>
        <v>76341.96</v>
      </c>
      <c r="AR21" s="48">
        <v>25624</v>
      </c>
      <c r="AS21" s="48">
        <v>118694</v>
      </c>
      <c r="AT21" s="64">
        <v>0.13</v>
      </c>
      <c r="AU21" s="62">
        <f t="shared" si="12"/>
        <v>15430.220000000001</v>
      </c>
      <c r="AW21" s="48">
        <v>27640</v>
      </c>
      <c r="AX21" s="48">
        <v>28751</v>
      </c>
      <c r="AY21" s="64">
        <v>1.97</v>
      </c>
      <c r="AZ21" s="62">
        <f t="shared" si="13"/>
        <v>56639.47</v>
      </c>
      <c r="BB21" s="102">
        <f t="shared" si="7"/>
        <v>6</v>
      </c>
      <c r="BC21" s="81">
        <f t="shared" si="8"/>
        <v>214739</v>
      </c>
      <c r="BD21" s="81">
        <f t="shared" si="9"/>
        <v>803657</v>
      </c>
      <c r="BE21" s="82">
        <f t="shared" si="10"/>
        <v>0.009240595801442654</v>
      </c>
      <c r="BF21" s="83">
        <f t="shared" si="11"/>
        <v>742626.95</v>
      </c>
    </row>
    <row r="22" spans="1:58" ht="12">
      <c r="A22" s="57">
        <v>1998</v>
      </c>
      <c r="B22" s="57">
        <v>2001</v>
      </c>
      <c r="D22" s="48">
        <v>51817</v>
      </c>
      <c r="E22" s="48">
        <v>209652</v>
      </c>
      <c r="F22" s="64">
        <v>2.56</v>
      </c>
      <c r="G22" s="62">
        <f t="shared" si="0"/>
        <v>536709.12</v>
      </c>
      <c r="I22" s="48">
        <v>26550</v>
      </c>
      <c r="J22" s="48">
        <v>196385</v>
      </c>
      <c r="K22" s="64">
        <v>10.83</v>
      </c>
      <c r="L22" s="62">
        <f t="shared" si="1"/>
        <v>2126849.55</v>
      </c>
      <c r="S22" s="48">
        <v>9318</v>
      </c>
      <c r="T22" s="48">
        <v>20450</v>
      </c>
      <c r="U22" s="64">
        <v>1.71</v>
      </c>
      <c r="V22" s="62">
        <f t="shared" si="2"/>
        <v>34969.5</v>
      </c>
      <c r="AM22" s="48">
        <v>49296</v>
      </c>
      <c r="AN22" s="48">
        <v>145143</v>
      </c>
      <c r="AO22" s="64">
        <v>0.33</v>
      </c>
      <c r="AP22" s="62">
        <f t="shared" si="5"/>
        <v>47897.19</v>
      </c>
      <c r="AR22" s="48">
        <v>28133</v>
      </c>
      <c r="AS22" s="48">
        <v>122350</v>
      </c>
      <c r="AT22" s="64">
        <v>1.02</v>
      </c>
      <c r="AU22" s="62">
        <f t="shared" si="12"/>
        <v>124797</v>
      </c>
      <c r="AW22" s="48">
        <v>24844</v>
      </c>
      <c r="AX22" s="48">
        <v>26219</v>
      </c>
      <c r="AY22" s="64">
        <v>4.14</v>
      </c>
      <c r="AZ22" s="62">
        <f t="shared" si="13"/>
        <v>108546.65999999999</v>
      </c>
      <c r="BB22" s="102">
        <f t="shared" si="7"/>
        <v>6</v>
      </c>
      <c r="BC22" s="81">
        <f t="shared" si="8"/>
        <v>189958</v>
      </c>
      <c r="BD22" s="81">
        <f t="shared" si="9"/>
        <v>720199</v>
      </c>
      <c r="BE22" s="82">
        <f>(BF22/BD22)/100</f>
        <v>0.041374245451604355</v>
      </c>
      <c r="BF22" s="83">
        <f t="shared" si="11"/>
        <v>2979769.02</v>
      </c>
    </row>
    <row r="23" spans="1:58" ht="12">
      <c r="A23" s="57">
        <v>1999</v>
      </c>
      <c r="B23" s="57">
        <v>2002</v>
      </c>
      <c r="D23" s="48">
        <v>49420</v>
      </c>
      <c r="E23" s="48">
        <v>204648</v>
      </c>
      <c r="F23" s="97">
        <v>0.64</v>
      </c>
      <c r="G23" s="62">
        <f t="shared" si="0"/>
        <v>130974.72</v>
      </c>
      <c r="I23" s="48">
        <v>25824</v>
      </c>
      <c r="J23" s="48">
        <v>194634</v>
      </c>
      <c r="K23" s="97">
        <v>0.68</v>
      </c>
      <c r="L23" s="62">
        <f t="shared" si="1"/>
        <v>132351.12</v>
      </c>
      <c r="S23" s="48">
        <v>24146</v>
      </c>
      <c r="T23" s="48">
        <v>198107</v>
      </c>
      <c r="U23" s="64">
        <v>1.14</v>
      </c>
      <c r="V23" s="62">
        <f t="shared" si="2"/>
        <v>225841.97999999998</v>
      </c>
      <c r="AM23" s="48">
        <v>24929</v>
      </c>
      <c r="AN23" s="48">
        <v>76851</v>
      </c>
      <c r="AO23" s="97">
        <v>0.13</v>
      </c>
      <c r="AP23" s="62">
        <f t="shared" si="5"/>
        <v>9990.630000000001</v>
      </c>
      <c r="AR23" s="48">
        <v>26343</v>
      </c>
      <c r="AS23" s="48">
        <v>119024</v>
      </c>
      <c r="AT23" s="64">
        <v>1.29</v>
      </c>
      <c r="AU23" s="62">
        <f t="shared" si="12"/>
        <v>153540.96</v>
      </c>
      <c r="AW23" s="48">
        <v>25452</v>
      </c>
      <c r="AX23" s="48">
        <v>25452</v>
      </c>
      <c r="AY23" s="64">
        <v>0.1</v>
      </c>
      <c r="AZ23" s="62">
        <f t="shared" si="13"/>
        <v>2545.2000000000003</v>
      </c>
      <c r="BB23" s="102">
        <f t="shared" si="7"/>
        <v>6</v>
      </c>
      <c r="BC23" s="81">
        <f t="shared" si="8"/>
        <v>176114</v>
      </c>
      <c r="BD23" s="81">
        <f t="shared" si="9"/>
        <v>818716</v>
      </c>
      <c r="BE23" s="96"/>
      <c r="BF23" s="83">
        <f t="shared" si="11"/>
        <v>655244.6099999999</v>
      </c>
    </row>
    <row r="24" spans="1:58" ht="12">
      <c r="A24" s="57">
        <v>2000</v>
      </c>
      <c r="B24" s="57">
        <v>2003</v>
      </c>
      <c r="D24" s="48">
        <v>47686</v>
      </c>
      <c r="E24" s="48">
        <v>204534</v>
      </c>
      <c r="F24" s="97">
        <v>0.18</v>
      </c>
      <c r="G24" s="62">
        <f t="shared" si="0"/>
        <v>36816.119999999995</v>
      </c>
      <c r="I24" s="48">
        <v>25786</v>
      </c>
      <c r="J24" s="48">
        <v>201749</v>
      </c>
      <c r="K24" s="97">
        <v>0.42</v>
      </c>
      <c r="L24" s="62">
        <f t="shared" si="1"/>
        <v>84734.58</v>
      </c>
      <c r="S24" s="48">
        <v>24880</v>
      </c>
      <c r="T24" s="48">
        <v>192945</v>
      </c>
      <c r="U24" s="97">
        <v>0.77</v>
      </c>
      <c r="V24" s="62">
        <f t="shared" si="2"/>
        <v>148567.65</v>
      </c>
      <c r="AM24" s="48">
        <v>57634</v>
      </c>
      <c r="AN24" s="48">
        <v>115178</v>
      </c>
      <c r="AO24" s="97">
        <v>0.74</v>
      </c>
      <c r="AP24" s="62">
        <f t="shared" si="5"/>
        <v>85231.72</v>
      </c>
      <c r="AR24" s="48">
        <v>28983</v>
      </c>
      <c r="AS24" s="48">
        <v>133283</v>
      </c>
      <c r="AT24" s="97">
        <v>0.45</v>
      </c>
      <c r="AU24" s="62">
        <f t="shared" si="12"/>
        <v>59977.35</v>
      </c>
      <c r="AW24" s="48">
        <v>29044</v>
      </c>
      <c r="AX24" s="48">
        <v>32132</v>
      </c>
      <c r="AY24" s="97">
        <v>0.55</v>
      </c>
      <c r="AZ24" s="62">
        <f t="shared" si="13"/>
        <v>17672.600000000002</v>
      </c>
      <c r="BB24" s="102">
        <f t="shared" si="7"/>
        <v>6</v>
      </c>
      <c r="BC24" s="81">
        <f t="shared" si="8"/>
        <v>214013</v>
      </c>
      <c r="BD24" s="81">
        <f t="shared" si="9"/>
        <v>879821</v>
      </c>
      <c r="BE24" s="96"/>
      <c r="BF24" s="83">
        <f t="shared" si="11"/>
        <v>433000.0199999999</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Fish and Wildlife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Curt Melcher</dc:creator>
  <cp:keywords/>
  <dc:description/>
  <cp:lastModifiedBy>Mark Lewis</cp:lastModifiedBy>
  <cp:lastPrinted>2004-02-23T22:01:18Z</cp:lastPrinted>
  <dcterms:created xsi:type="dcterms:W3CDTF">2003-11-18T19:58:18Z</dcterms:created>
  <dcterms:modified xsi:type="dcterms:W3CDTF">2004-03-09T00:16:16Z</dcterms:modified>
  <cp:category/>
  <cp:version/>
  <cp:contentType/>
  <cp:contentStatus/>
</cp:coreProperties>
</file>